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latica\Desktop\PLANOVI\Plan 2025\"/>
    </mc:Choice>
  </mc:AlternateContent>
  <xr:revisionPtr revIDLastSave="0" documentId="13_ncr:1_{D335A540-A8F0-4904-8EE6-440B78A5A52B}" xr6:coauthVersionLast="47" xr6:coauthVersionMax="47" xr10:uidLastSave="{00000000-0000-0000-0000-000000000000}"/>
  <bookViews>
    <workbookView xWindow="-120" yWindow="-120" windowWidth="29040" windowHeight="15990" tabRatio="878" firstSheet="7" activeTab="15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15'!$A$1:$I$84</definedName>
    <definedName name="_xlnm.Print_Area" localSheetId="22">'Прилог 16'!$B$1:$O$93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81029"/>
</workbook>
</file>

<file path=xl/calcChain.xml><?xml version="1.0" encoding="utf-8"?>
<calcChain xmlns="http://schemas.openxmlformats.org/spreadsheetml/2006/main">
  <c r="G15" i="69" l="1"/>
  <c r="F15" i="69"/>
  <c r="E15" i="69"/>
  <c r="D15" i="69"/>
  <c r="G21" i="69"/>
  <c r="F21" i="69"/>
  <c r="E21" i="69"/>
  <c r="D21" i="69"/>
  <c r="H24" i="68"/>
  <c r="G24" i="68"/>
  <c r="F24" i="68"/>
  <c r="E24" i="68"/>
  <c r="H20" i="68"/>
  <c r="G20" i="68"/>
  <c r="F20" i="68"/>
  <c r="E20" i="68"/>
  <c r="H73" i="67"/>
  <c r="H33" i="68"/>
  <c r="H31" i="68"/>
  <c r="F93" i="24"/>
  <c r="J93" i="24"/>
  <c r="K93" i="24"/>
  <c r="L93" i="24"/>
  <c r="M93" i="24"/>
  <c r="N93" i="24"/>
  <c r="O93" i="24"/>
  <c r="I93" i="24"/>
  <c r="O77" i="24"/>
  <c r="N77" i="24"/>
  <c r="M77" i="24"/>
  <c r="L77" i="24"/>
  <c r="K77" i="24"/>
  <c r="J77" i="24"/>
  <c r="I77" i="24"/>
  <c r="F19" i="46"/>
  <c r="G10" i="69" l="1"/>
  <c r="Q21" i="50" l="1"/>
  <c r="O21" i="50"/>
  <c r="N21" i="50"/>
  <c r="G21" i="50"/>
  <c r="D10" i="69"/>
  <c r="F10" i="69"/>
  <c r="E10" i="69"/>
  <c r="H143" i="67"/>
  <c r="G143" i="67"/>
  <c r="F143" i="67"/>
  <c r="E143" i="67"/>
  <c r="G21" i="67"/>
  <c r="F21" i="67"/>
  <c r="E21" i="67"/>
  <c r="G33" i="68"/>
  <c r="F33" i="68"/>
  <c r="E33" i="68"/>
  <c r="F139" i="67"/>
  <c r="G139" i="67"/>
  <c r="H139" i="67"/>
  <c r="H75" i="67"/>
  <c r="G75" i="67"/>
  <c r="F75" i="67"/>
  <c r="E75" i="67"/>
  <c r="H21" i="67"/>
  <c r="F23" i="63" l="1"/>
  <c r="F42" i="62"/>
  <c r="E19" i="46"/>
  <c r="D19" i="46"/>
  <c r="I20" i="24" l="1"/>
  <c r="I80" i="24"/>
  <c r="I82" i="24" s="1"/>
  <c r="F63" i="24"/>
  <c r="N35" i="70"/>
  <c r="K35" i="70"/>
  <c r="H35" i="70"/>
  <c r="G15" i="68" l="1"/>
  <c r="F15" i="68"/>
  <c r="N47" i="70"/>
  <c r="F57" i="67"/>
  <c r="G57" i="67"/>
  <c r="H57" i="67"/>
  <c r="E57" i="67"/>
  <c r="M68" i="35"/>
  <c r="N68" i="35"/>
  <c r="J68" i="35"/>
  <c r="G68" i="35"/>
  <c r="M47" i="70"/>
  <c r="L47" i="70"/>
  <c r="L48" i="70" s="1"/>
  <c r="J47" i="70"/>
  <c r="J48" i="70" s="1"/>
  <c r="I47" i="70"/>
  <c r="I48" i="70" s="1"/>
  <c r="G47" i="70"/>
  <c r="G48" i="70" s="1"/>
  <c r="F47" i="70"/>
  <c r="F48" i="70" s="1"/>
  <c r="N46" i="70"/>
  <c r="K46" i="70"/>
  <c r="H46" i="70"/>
  <c r="D46" i="70"/>
  <c r="C46" i="70"/>
  <c r="N45" i="70"/>
  <c r="K45" i="70"/>
  <c r="H45" i="70"/>
  <c r="D45" i="70"/>
  <c r="C45" i="70"/>
  <c r="N44" i="70"/>
  <c r="K44" i="70"/>
  <c r="H44" i="70"/>
  <c r="D44" i="70"/>
  <c r="C44" i="70"/>
  <c r="N43" i="70"/>
  <c r="K43" i="70"/>
  <c r="H43" i="70"/>
  <c r="D43" i="70"/>
  <c r="C43" i="70"/>
  <c r="E43" i="70" s="1"/>
  <c r="N42" i="70"/>
  <c r="K42" i="70"/>
  <c r="H42" i="70"/>
  <c r="D42" i="70"/>
  <c r="C42" i="70"/>
  <c r="N41" i="70"/>
  <c r="K41" i="70"/>
  <c r="H41" i="70"/>
  <c r="D41" i="70"/>
  <c r="C41" i="70"/>
  <c r="N40" i="70"/>
  <c r="K40" i="70"/>
  <c r="H40" i="70"/>
  <c r="D40" i="70"/>
  <c r="C40" i="70"/>
  <c r="N39" i="70"/>
  <c r="K39" i="70"/>
  <c r="H39" i="70"/>
  <c r="D39" i="70"/>
  <c r="C39" i="70"/>
  <c r="N38" i="70"/>
  <c r="K38" i="70"/>
  <c r="H38" i="70"/>
  <c r="D38" i="70"/>
  <c r="C38" i="70"/>
  <c r="N37" i="70"/>
  <c r="K37" i="70"/>
  <c r="H37" i="70"/>
  <c r="D37" i="70"/>
  <c r="C37" i="70"/>
  <c r="N36" i="70"/>
  <c r="K36" i="70"/>
  <c r="K47" i="70" s="1"/>
  <c r="K48" i="70" s="1"/>
  <c r="H36" i="70"/>
  <c r="H47" i="70" s="1"/>
  <c r="D36" i="70"/>
  <c r="E36" i="70" s="1"/>
  <c r="C36" i="70"/>
  <c r="D35" i="70"/>
  <c r="C35" i="70"/>
  <c r="M23" i="70"/>
  <c r="M24" i="70" s="1"/>
  <c r="L23" i="70"/>
  <c r="L24" i="70" s="1"/>
  <c r="J23" i="70"/>
  <c r="J24" i="70" s="1"/>
  <c r="I23" i="70"/>
  <c r="I24" i="70" s="1"/>
  <c r="G23" i="70"/>
  <c r="G24" i="70" s="1"/>
  <c r="F23" i="70"/>
  <c r="F24" i="70" s="1"/>
  <c r="N22" i="70"/>
  <c r="K22" i="70"/>
  <c r="H22" i="70"/>
  <c r="D22" i="70"/>
  <c r="C22" i="70"/>
  <c r="N21" i="70"/>
  <c r="K21" i="70"/>
  <c r="H21" i="70"/>
  <c r="D21" i="70"/>
  <c r="C21" i="70"/>
  <c r="E21" i="70" s="1"/>
  <c r="N20" i="70"/>
  <c r="K20" i="70"/>
  <c r="H20" i="70"/>
  <c r="D20" i="70"/>
  <c r="C20" i="70"/>
  <c r="N19" i="70"/>
  <c r="K19" i="70"/>
  <c r="H19" i="70"/>
  <c r="D19" i="70"/>
  <c r="C19" i="70"/>
  <c r="N18" i="70"/>
  <c r="K18" i="70"/>
  <c r="H18" i="70"/>
  <c r="D18" i="70"/>
  <c r="E18" i="70" s="1"/>
  <c r="C18" i="70"/>
  <c r="N17" i="70"/>
  <c r="K17" i="70"/>
  <c r="H17" i="70"/>
  <c r="D17" i="70"/>
  <c r="C17" i="70"/>
  <c r="N16" i="70"/>
  <c r="K16" i="70"/>
  <c r="H16" i="70"/>
  <c r="D16" i="70"/>
  <c r="E16" i="70" s="1"/>
  <c r="C16" i="70"/>
  <c r="N15" i="70"/>
  <c r="K15" i="70"/>
  <c r="H15" i="70"/>
  <c r="D15" i="70"/>
  <c r="C15" i="70"/>
  <c r="E15" i="70" s="1"/>
  <c r="N14" i="70"/>
  <c r="K14" i="70"/>
  <c r="H14" i="70"/>
  <c r="D14" i="70"/>
  <c r="C14" i="70"/>
  <c r="N13" i="70"/>
  <c r="K13" i="70"/>
  <c r="H13" i="70"/>
  <c r="D13" i="70"/>
  <c r="C13" i="70"/>
  <c r="E13" i="70" s="1"/>
  <c r="N12" i="70"/>
  <c r="K12" i="70"/>
  <c r="H12" i="70"/>
  <c r="D12" i="70"/>
  <c r="C12" i="70"/>
  <c r="N11" i="70"/>
  <c r="N23" i="70" s="1"/>
  <c r="N24" i="70" s="1"/>
  <c r="K11" i="70"/>
  <c r="H11" i="70"/>
  <c r="D11" i="70"/>
  <c r="C11" i="70"/>
  <c r="E28" i="59"/>
  <c r="E27" i="59"/>
  <c r="G38" i="24"/>
  <c r="F38" i="24" s="1"/>
  <c r="G33" i="24"/>
  <c r="J67" i="24"/>
  <c r="K67" i="24"/>
  <c r="L67" i="24"/>
  <c r="M67" i="24"/>
  <c r="I65" i="24"/>
  <c r="I67" i="24" s="1"/>
  <c r="I69" i="24"/>
  <c r="F68" i="24" s="1"/>
  <c r="I45" i="24"/>
  <c r="I47" i="24" s="1"/>
  <c r="I40" i="24"/>
  <c r="I35" i="24"/>
  <c r="I37" i="24" s="1"/>
  <c r="I15" i="24"/>
  <c r="I10" i="24"/>
  <c r="J72" i="24"/>
  <c r="K72" i="24"/>
  <c r="L72" i="24"/>
  <c r="M72" i="24"/>
  <c r="N72" i="24"/>
  <c r="O72" i="24"/>
  <c r="I72" i="24"/>
  <c r="J47" i="24"/>
  <c r="K47" i="24"/>
  <c r="L47" i="24"/>
  <c r="M47" i="24"/>
  <c r="N47" i="24"/>
  <c r="O47" i="24"/>
  <c r="J42" i="24"/>
  <c r="K42" i="24"/>
  <c r="L42" i="24"/>
  <c r="M42" i="24"/>
  <c r="N42" i="24"/>
  <c r="O42" i="24"/>
  <c r="I42" i="24"/>
  <c r="J37" i="24"/>
  <c r="K37" i="24"/>
  <c r="L37" i="24"/>
  <c r="M37" i="24"/>
  <c r="N37" i="24"/>
  <c r="O37" i="24"/>
  <c r="J22" i="24"/>
  <c r="K22" i="24"/>
  <c r="L22" i="24"/>
  <c r="M22" i="24"/>
  <c r="N22" i="24"/>
  <c r="O22" i="24"/>
  <c r="I22" i="24"/>
  <c r="J17" i="24"/>
  <c r="K17" i="24"/>
  <c r="L17" i="24"/>
  <c r="M17" i="24"/>
  <c r="N17" i="24"/>
  <c r="O17" i="24"/>
  <c r="I17" i="24"/>
  <c r="J12" i="24"/>
  <c r="K12" i="24"/>
  <c r="L12" i="24"/>
  <c r="M12" i="24"/>
  <c r="N12" i="24"/>
  <c r="O12" i="24"/>
  <c r="I12" i="24"/>
  <c r="F43" i="24" l="1"/>
  <c r="E40" i="70"/>
  <c r="E44" i="70"/>
  <c r="E45" i="70"/>
  <c r="E38" i="70"/>
  <c r="E42" i="70"/>
  <c r="E46" i="70"/>
  <c r="E41" i="70"/>
  <c r="E19" i="70"/>
  <c r="E12" i="70"/>
  <c r="D23" i="70"/>
  <c r="D24" i="70" s="1"/>
  <c r="E22" i="70"/>
  <c r="K23" i="70"/>
  <c r="K24" i="70" s="1"/>
  <c r="E14" i="70"/>
  <c r="E17" i="70"/>
  <c r="E20" i="70"/>
  <c r="E11" i="70"/>
  <c r="N48" i="70"/>
  <c r="E39" i="70"/>
  <c r="C47" i="70"/>
  <c r="C48" i="70" s="1"/>
  <c r="E37" i="70"/>
  <c r="E35" i="70"/>
  <c r="H23" i="70"/>
  <c r="H24" i="70" s="1"/>
  <c r="D47" i="70"/>
  <c r="H48" i="70"/>
  <c r="M48" i="70"/>
  <c r="C23" i="70"/>
  <c r="C24" i="70" s="1"/>
  <c r="F33" i="24"/>
  <c r="G18" i="24"/>
  <c r="F18" i="24" s="1"/>
  <c r="G13" i="24"/>
  <c r="F13" i="24" s="1"/>
  <c r="G8" i="24"/>
  <c r="F8" i="24" s="1"/>
  <c r="H79" i="22"/>
  <c r="G79" i="22"/>
  <c r="F79" i="22"/>
  <c r="E79" i="22"/>
  <c r="H61" i="22"/>
  <c r="G61" i="22"/>
  <c r="F61" i="22"/>
  <c r="E61" i="22"/>
  <c r="D61" i="22"/>
  <c r="D63" i="22"/>
  <c r="D79" i="22" s="1"/>
  <c r="H24" i="22"/>
  <c r="G24" i="22"/>
  <c r="F24" i="22"/>
  <c r="E24" i="22"/>
  <c r="D24" i="22"/>
  <c r="G93" i="24" l="1"/>
  <c r="D80" i="22"/>
  <c r="G80" i="22"/>
  <c r="H80" i="22"/>
  <c r="F80" i="22"/>
  <c r="E80" i="22"/>
  <c r="E47" i="70"/>
  <c r="E48" i="70" s="1"/>
  <c r="E23" i="70"/>
  <c r="E24" i="70" s="1"/>
  <c r="D48" i="70"/>
  <c r="J41" i="54"/>
  <c r="J42" i="54" s="1"/>
  <c r="I41" i="54"/>
  <c r="I42" i="54" s="1"/>
  <c r="H41" i="54"/>
  <c r="H42" i="54" s="1"/>
  <c r="F41" i="54"/>
  <c r="F42" i="54" s="1"/>
  <c r="E41" i="54"/>
  <c r="E42" i="54" s="1"/>
  <c r="D41" i="54"/>
  <c r="D42" i="54" s="1"/>
  <c r="G40" i="54"/>
  <c r="C40" i="54"/>
  <c r="G39" i="54"/>
  <c r="C39" i="54"/>
  <c r="G38" i="54"/>
  <c r="C38" i="54"/>
  <c r="G37" i="54"/>
  <c r="C37" i="54"/>
  <c r="G36" i="54"/>
  <c r="C36" i="54"/>
  <c r="G35" i="54"/>
  <c r="C35" i="54"/>
  <c r="G34" i="54"/>
  <c r="C34" i="54"/>
  <c r="G33" i="54"/>
  <c r="C33" i="54"/>
  <c r="G32" i="54"/>
  <c r="C32" i="54"/>
  <c r="G31" i="54"/>
  <c r="C31" i="54"/>
  <c r="G30" i="54"/>
  <c r="C30" i="54"/>
  <c r="G29" i="54"/>
  <c r="C29" i="54"/>
  <c r="C41" i="54" s="1"/>
  <c r="C42" i="54" s="1"/>
  <c r="J19" i="54"/>
  <c r="J20" i="54" s="1"/>
  <c r="I19" i="54"/>
  <c r="I20" i="54" s="1"/>
  <c r="H19" i="54"/>
  <c r="H20" i="54" s="1"/>
  <c r="F19" i="54"/>
  <c r="F20" i="54" s="1"/>
  <c r="E19" i="54"/>
  <c r="E20" i="54" s="1"/>
  <c r="D19" i="54"/>
  <c r="D20" i="54" s="1"/>
  <c r="G18" i="54"/>
  <c r="C18" i="54"/>
  <c r="G17" i="54"/>
  <c r="C17" i="54"/>
  <c r="G16" i="54"/>
  <c r="C16" i="54"/>
  <c r="G15" i="54"/>
  <c r="C15" i="54"/>
  <c r="G14" i="54"/>
  <c r="C14" i="54"/>
  <c r="G13" i="54"/>
  <c r="C13" i="54"/>
  <c r="G12" i="54"/>
  <c r="C12" i="54"/>
  <c r="G11" i="54"/>
  <c r="C11" i="54"/>
  <c r="G10" i="54"/>
  <c r="C10" i="54"/>
  <c r="G9" i="54"/>
  <c r="C9" i="54"/>
  <c r="G8" i="54"/>
  <c r="C8" i="54"/>
  <c r="G7" i="54"/>
  <c r="G19" i="54" s="1"/>
  <c r="G20" i="54" s="1"/>
  <c r="C7" i="54"/>
  <c r="C19" i="54" s="1"/>
  <c r="C20" i="54" s="1"/>
  <c r="F26" i="59"/>
  <c r="F69" i="35"/>
  <c r="J69" i="35"/>
  <c r="L69" i="35"/>
  <c r="M69" i="35"/>
  <c r="N69" i="35"/>
  <c r="L68" i="35"/>
  <c r="I68" i="35"/>
  <c r="I69" i="35" s="1"/>
  <c r="F68" i="35"/>
  <c r="H57" i="35"/>
  <c r="H58" i="35"/>
  <c r="H59" i="35"/>
  <c r="H60" i="35"/>
  <c r="H61" i="35"/>
  <c r="H62" i="35"/>
  <c r="H63" i="35"/>
  <c r="H64" i="35"/>
  <c r="H65" i="35"/>
  <c r="H66" i="35"/>
  <c r="H67" i="35"/>
  <c r="H56" i="35"/>
  <c r="D57" i="35"/>
  <c r="D58" i="35"/>
  <c r="D59" i="35"/>
  <c r="D60" i="35"/>
  <c r="D61" i="35"/>
  <c r="D62" i="35"/>
  <c r="D63" i="35"/>
  <c r="D64" i="35"/>
  <c r="D65" i="35"/>
  <c r="D66" i="35"/>
  <c r="D67" i="35"/>
  <c r="D56" i="35"/>
  <c r="C57" i="35"/>
  <c r="E57" i="35" s="1"/>
  <c r="C58" i="35"/>
  <c r="E58" i="35" s="1"/>
  <c r="C59" i="35"/>
  <c r="E59" i="35" s="1"/>
  <c r="C60" i="35"/>
  <c r="E60" i="35" s="1"/>
  <c r="C61" i="35"/>
  <c r="E61" i="35" s="1"/>
  <c r="C62" i="35"/>
  <c r="E62" i="35" s="1"/>
  <c r="C63" i="35"/>
  <c r="E63" i="35" s="1"/>
  <c r="C64" i="35"/>
  <c r="C65" i="35"/>
  <c r="E65" i="35" s="1"/>
  <c r="C66" i="35"/>
  <c r="E66" i="35" s="1"/>
  <c r="C67" i="35"/>
  <c r="E67" i="35" s="1"/>
  <c r="C56" i="35"/>
  <c r="E56" i="35" s="1"/>
  <c r="K57" i="35"/>
  <c r="K58" i="35"/>
  <c r="K59" i="35"/>
  <c r="K60" i="35"/>
  <c r="K61" i="35"/>
  <c r="K62" i="35"/>
  <c r="K63" i="35"/>
  <c r="K64" i="35"/>
  <c r="K65" i="35"/>
  <c r="K66" i="35"/>
  <c r="K67" i="35"/>
  <c r="K56" i="35"/>
  <c r="N57" i="35"/>
  <c r="N58" i="35"/>
  <c r="N59" i="35"/>
  <c r="N60" i="35"/>
  <c r="N61" i="35"/>
  <c r="N62" i="35"/>
  <c r="N63" i="35"/>
  <c r="N64" i="35"/>
  <c r="N65" i="35"/>
  <c r="N66" i="35"/>
  <c r="N67" i="35"/>
  <c r="N56" i="35"/>
  <c r="H68" i="35" l="1"/>
  <c r="H69" i="35" s="1"/>
  <c r="K68" i="35"/>
  <c r="K69" i="35" s="1"/>
  <c r="E68" i="35"/>
  <c r="E69" i="35" s="1"/>
  <c r="D68" i="35"/>
  <c r="D69" i="35" s="1"/>
  <c r="C68" i="35"/>
  <c r="C69" i="35" s="1"/>
  <c r="E64" i="35"/>
  <c r="G41" i="54"/>
  <c r="G42" i="54" s="1"/>
  <c r="G69" i="35"/>
  <c r="L46" i="35"/>
  <c r="M46" i="35"/>
  <c r="N46" i="35"/>
  <c r="F45" i="35" l="1"/>
  <c r="F46" i="35" s="1"/>
  <c r="G45" i="35"/>
  <c r="G46" i="35" s="1"/>
  <c r="I45" i="35"/>
  <c r="I46" i="35" s="1"/>
  <c r="J45" i="35"/>
  <c r="J46" i="35" s="1"/>
  <c r="L45" i="35"/>
  <c r="M45" i="35"/>
  <c r="N45" i="35"/>
  <c r="C34" i="35"/>
  <c r="C35" i="35"/>
  <c r="C36" i="35"/>
  <c r="C37" i="35"/>
  <c r="C38" i="35"/>
  <c r="C39" i="35"/>
  <c r="C40" i="35"/>
  <c r="C41" i="35"/>
  <c r="C42" i="35"/>
  <c r="C43" i="35"/>
  <c r="C44" i="35"/>
  <c r="C33" i="35"/>
  <c r="D34" i="35"/>
  <c r="D35" i="35"/>
  <c r="D36" i="35"/>
  <c r="D37" i="35"/>
  <c r="D38" i="35"/>
  <c r="D39" i="35"/>
  <c r="D40" i="35"/>
  <c r="D41" i="35"/>
  <c r="D42" i="35"/>
  <c r="D43" i="35"/>
  <c r="E43" i="35" s="1"/>
  <c r="D44" i="35"/>
  <c r="D33" i="35"/>
  <c r="H34" i="35"/>
  <c r="H35" i="35"/>
  <c r="H36" i="35"/>
  <c r="H37" i="35"/>
  <c r="H38" i="35"/>
  <c r="H39" i="35"/>
  <c r="H40" i="35"/>
  <c r="H41" i="35"/>
  <c r="H42" i="35"/>
  <c r="H43" i="35"/>
  <c r="H44" i="35"/>
  <c r="H33" i="35"/>
  <c r="K34" i="35"/>
  <c r="K35" i="35"/>
  <c r="K36" i="35"/>
  <c r="K37" i="35"/>
  <c r="K38" i="35"/>
  <c r="K39" i="35"/>
  <c r="K40" i="35"/>
  <c r="K41" i="35"/>
  <c r="K42" i="35"/>
  <c r="K43" i="35"/>
  <c r="K44" i="35"/>
  <c r="K33" i="35"/>
  <c r="N34" i="35"/>
  <c r="N35" i="35"/>
  <c r="N36" i="35"/>
  <c r="N37" i="35"/>
  <c r="N38" i="35"/>
  <c r="N39" i="35"/>
  <c r="N40" i="35"/>
  <c r="N41" i="35"/>
  <c r="N42" i="35"/>
  <c r="N43" i="35"/>
  <c r="N44" i="35"/>
  <c r="N33" i="35"/>
  <c r="E41" i="35" l="1"/>
  <c r="E42" i="35"/>
  <c r="E38" i="35"/>
  <c r="E37" i="35"/>
  <c r="E40" i="35"/>
  <c r="E36" i="35"/>
  <c r="E34" i="35"/>
  <c r="E39" i="35"/>
  <c r="E35" i="35"/>
  <c r="E33" i="35"/>
  <c r="K45" i="35"/>
  <c r="K46" i="35" s="1"/>
  <c r="E44" i="35"/>
  <c r="C45" i="35"/>
  <c r="C46" i="35" s="1"/>
  <c r="D45" i="35"/>
  <c r="D46" i="35" s="1"/>
  <c r="H45" i="35"/>
  <c r="H46" i="35" s="1"/>
  <c r="J22" i="35"/>
  <c r="K22" i="35"/>
  <c r="I22" i="35"/>
  <c r="I21" i="35"/>
  <c r="J21" i="35"/>
  <c r="K21" i="35"/>
  <c r="G22" i="35"/>
  <c r="H22" i="35"/>
  <c r="F22" i="35"/>
  <c r="G21" i="35"/>
  <c r="H21" i="35"/>
  <c r="F21" i="35"/>
  <c r="K17" i="35"/>
  <c r="K18" i="35"/>
  <c r="K19" i="35"/>
  <c r="K20" i="35"/>
  <c r="K16" i="35"/>
  <c r="H10" i="35"/>
  <c r="H11" i="35"/>
  <c r="H12" i="35"/>
  <c r="H13" i="35"/>
  <c r="H14" i="35"/>
  <c r="H15" i="35"/>
  <c r="H16" i="35"/>
  <c r="H17" i="35"/>
  <c r="H18" i="35"/>
  <c r="H19" i="35"/>
  <c r="H20" i="35"/>
  <c r="H9" i="35"/>
  <c r="D10" i="35"/>
  <c r="E10" i="35" s="1"/>
  <c r="D11" i="35"/>
  <c r="E11" i="35" s="1"/>
  <c r="D12" i="35"/>
  <c r="D13" i="35"/>
  <c r="E13" i="35" s="1"/>
  <c r="D14" i="35"/>
  <c r="E14" i="35" s="1"/>
  <c r="D15" i="35"/>
  <c r="E15" i="35" s="1"/>
  <c r="D16" i="35"/>
  <c r="E16" i="35" s="1"/>
  <c r="D17" i="35"/>
  <c r="E17" i="35" s="1"/>
  <c r="D18" i="35"/>
  <c r="E18" i="35" s="1"/>
  <c r="D19" i="35"/>
  <c r="D20" i="35"/>
  <c r="E20" i="35" s="1"/>
  <c r="D9" i="35"/>
  <c r="E9" i="35" s="1"/>
  <c r="M21" i="35"/>
  <c r="M22" i="35" s="1"/>
  <c r="N10" i="35"/>
  <c r="N11" i="35"/>
  <c r="N12" i="35"/>
  <c r="N13" i="35"/>
  <c r="N14" i="35"/>
  <c r="N15" i="35"/>
  <c r="N16" i="35"/>
  <c r="N17" i="35"/>
  <c r="N18" i="35"/>
  <c r="N19" i="35"/>
  <c r="N20" i="35"/>
  <c r="N9" i="35"/>
  <c r="L22" i="35"/>
  <c r="L21" i="35"/>
  <c r="C22" i="35"/>
  <c r="C21" i="35"/>
  <c r="E19" i="35"/>
  <c r="E12" i="35"/>
  <c r="D14" i="71"/>
  <c r="D17" i="71" s="1"/>
  <c r="L30" i="55"/>
  <c r="K30" i="55"/>
  <c r="E24" i="55"/>
  <c r="F24" i="55"/>
  <c r="G24" i="55"/>
  <c r="D24" i="55"/>
  <c r="L13" i="55"/>
  <c r="K13" i="55"/>
  <c r="E15" i="55"/>
  <c r="F15" i="55"/>
  <c r="G15" i="55"/>
  <c r="D15" i="55"/>
  <c r="E30" i="43"/>
  <c r="F30" i="43"/>
  <c r="G30" i="43"/>
  <c r="H30" i="43"/>
  <c r="D30" i="43"/>
  <c r="E45" i="35" l="1"/>
  <c r="E46" i="35" s="1"/>
  <c r="N21" i="35"/>
  <c r="N22" i="35" s="1"/>
  <c r="E21" i="35"/>
  <c r="E22" i="35" s="1"/>
  <c r="D21" i="35"/>
  <c r="D22" i="35" s="1"/>
  <c r="I9" i="34"/>
  <c r="H9" i="34"/>
  <c r="G9" i="34"/>
  <c r="F9" i="34"/>
  <c r="I8" i="34"/>
  <c r="H8" i="34"/>
  <c r="G8" i="34"/>
  <c r="F8" i="34"/>
  <c r="I7" i="34"/>
  <c r="H7" i="34"/>
  <c r="G7" i="34"/>
  <c r="F7" i="34"/>
  <c r="D20" i="46" l="1"/>
  <c r="E20" i="46"/>
  <c r="F20" i="46"/>
  <c r="C20" i="46"/>
  <c r="D14" i="46"/>
  <c r="E14" i="46"/>
  <c r="C14" i="46"/>
  <c r="F13" i="46"/>
  <c r="F12" i="46"/>
  <c r="E32" i="69"/>
  <c r="E37" i="69" s="1"/>
  <c r="F32" i="69"/>
  <c r="F37" i="69" s="1"/>
  <c r="G32" i="69"/>
  <c r="G37" i="69" s="1"/>
  <c r="D32" i="69"/>
  <c r="D37" i="69" s="1"/>
  <c r="F86" i="67"/>
  <c r="G86" i="67"/>
  <c r="H86" i="67"/>
  <c r="E86" i="67"/>
  <c r="F14" i="46" l="1"/>
  <c r="F132" i="67"/>
  <c r="G132" i="67"/>
  <c r="H132" i="67"/>
  <c r="E132" i="67"/>
  <c r="F124" i="67"/>
  <c r="G124" i="67"/>
  <c r="H124" i="67"/>
  <c r="E124" i="67"/>
  <c r="F114" i="67"/>
  <c r="G114" i="67"/>
  <c r="G111" i="67" s="1"/>
  <c r="H114" i="67"/>
  <c r="H111" i="67" s="1"/>
  <c r="E114" i="67"/>
  <c r="F111" i="67"/>
  <c r="E111" i="67"/>
  <c r="F99" i="67"/>
  <c r="G99" i="67"/>
  <c r="H99" i="67"/>
  <c r="E99" i="67"/>
  <c r="F94" i="67"/>
  <c r="G94" i="67"/>
  <c r="H94" i="67"/>
  <c r="E94" i="67"/>
  <c r="F92" i="67"/>
  <c r="G92" i="67"/>
  <c r="H92" i="67"/>
  <c r="E92" i="67"/>
  <c r="F89" i="67"/>
  <c r="G89" i="67"/>
  <c r="H89" i="67"/>
  <c r="E89" i="67"/>
  <c r="F85" i="67"/>
  <c r="G85" i="67"/>
  <c r="H85" i="67"/>
  <c r="E85" i="67"/>
  <c r="E139" i="67" s="1"/>
  <c r="F62" i="67"/>
  <c r="G62" i="67"/>
  <c r="H62" i="67"/>
  <c r="E62" i="67"/>
  <c r="F50" i="67"/>
  <c r="G50" i="67"/>
  <c r="H50" i="67"/>
  <c r="E50" i="67"/>
  <c r="F43" i="67"/>
  <c r="G43" i="67"/>
  <c r="G41" i="67" s="1"/>
  <c r="H43" i="67"/>
  <c r="H41" i="67" s="1"/>
  <c r="F41" i="67"/>
  <c r="F28" i="67"/>
  <c r="F18" i="67"/>
  <c r="F9" i="67" s="1"/>
  <c r="H18" i="67"/>
  <c r="F11" i="67"/>
  <c r="H11" i="67"/>
  <c r="E43" i="67"/>
  <c r="E41" i="67" s="1"/>
  <c r="G28" i="67"/>
  <c r="H28" i="67"/>
  <c r="H9" i="67" s="1"/>
  <c r="E28" i="67"/>
  <c r="G18" i="67"/>
  <c r="E18" i="67"/>
  <c r="G11" i="67"/>
  <c r="E11" i="67"/>
  <c r="E9" i="67" s="1"/>
  <c r="G27" i="68"/>
  <c r="G26" i="68"/>
  <c r="F26" i="68"/>
  <c r="F27" i="68"/>
  <c r="H27" i="68"/>
  <c r="E27" i="68"/>
  <c r="H26" i="68"/>
  <c r="E26" i="68"/>
  <c r="E14" i="69"/>
  <c r="E59" i="69" s="1"/>
  <c r="F14" i="69"/>
  <c r="F59" i="69" s="1"/>
  <c r="G14" i="69"/>
  <c r="G59" i="69" s="1"/>
  <c r="D14" i="69"/>
  <c r="D59" i="69" s="1"/>
  <c r="E9" i="69"/>
  <c r="E58" i="69" s="1"/>
  <c r="F9" i="69"/>
  <c r="F58" i="69" s="1"/>
  <c r="G9" i="69"/>
  <c r="G58" i="69" s="1"/>
  <c r="D9" i="69"/>
  <c r="D58" i="69" s="1"/>
  <c r="F49" i="68"/>
  <c r="G49" i="68"/>
  <c r="H49" i="68"/>
  <c r="E49" i="68"/>
  <c r="F48" i="68"/>
  <c r="G48" i="68"/>
  <c r="H48" i="68"/>
  <c r="E48" i="68"/>
  <c r="F42" i="68"/>
  <c r="G42" i="68"/>
  <c r="H42" i="68"/>
  <c r="E42" i="68"/>
  <c r="F36" i="68"/>
  <c r="G36" i="68"/>
  <c r="H36" i="68"/>
  <c r="E36" i="68"/>
  <c r="F14" i="68"/>
  <c r="F9" i="68" s="1"/>
  <c r="G14" i="68"/>
  <c r="G9" i="68" s="1"/>
  <c r="H14" i="68"/>
  <c r="H9" i="68" s="1"/>
  <c r="E14" i="68"/>
  <c r="E9" i="68" s="1"/>
  <c r="E54" i="68" s="1"/>
  <c r="F11" i="68"/>
  <c r="G11" i="68"/>
  <c r="H11" i="68"/>
  <c r="E11" i="68"/>
  <c r="D28" i="59"/>
  <c r="C28" i="59"/>
  <c r="D27" i="59"/>
  <c r="C27" i="59"/>
  <c r="E26" i="59"/>
  <c r="D26" i="59"/>
  <c r="C26" i="59"/>
  <c r="E44" i="56"/>
  <c r="E39" i="56"/>
  <c r="E35" i="56"/>
  <c r="E30" i="56"/>
  <c r="E26" i="56"/>
  <c r="E22" i="56"/>
  <c r="E18" i="56"/>
  <c r="E14" i="56"/>
  <c r="E10" i="56"/>
  <c r="D44" i="56"/>
  <c r="C44" i="56"/>
  <c r="D43" i="56"/>
  <c r="C43" i="56"/>
  <c r="D39" i="56"/>
  <c r="C39" i="56"/>
  <c r="D38" i="56"/>
  <c r="C38" i="56"/>
  <c r="D35" i="56"/>
  <c r="C35" i="56"/>
  <c r="D34" i="56"/>
  <c r="C34" i="56"/>
  <c r="D30" i="56"/>
  <c r="C30" i="56"/>
  <c r="D29" i="56"/>
  <c r="C29" i="56"/>
  <c r="D26" i="56"/>
  <c r="C26" i="56"/>
  <c r="D25" i="56"/>
  <c r="C25" i="56"/>
  <c r="D23" i="56"/>
  <c r="C23" i="56"/>
  <c r="D22" i="56"/>
  <c r="C22" i="56"/>
  <c r="D21" i="56"/>
  <c r="C21" i="56"/>
  <c r="D18" i="56"/>
  <c r="C18" i="56"/>
  <c r="D17" i="56"/>
  <c r="C17" i="56"/>
  <c r="D14" i="56"/>
  <c r="C14" i="56"/>
  <c r="D13" i="56"/>
  <c r="C13" i="56"/>
  <c r="D10" i="56"/>
  <c r="C10" i="56"/>
  <c r="D9" i="56"/>
  <c r="C9" i="56"/>
  <c r="G9" i="67" l="1"/>
  <c r="F141" i="67"/>
  <c r="H141" i="67"/>
  <c r="G141" i="67"/>
  <c r="E74" i="67"/>
  <c r="G60" i="69"/>
  <c r="G65" i="69" s="1"/>
  <c r="F60" i="69"/>
  <c r="F65" i="69" s="1"/>
  <c r="F74" i="67"/>
  <c r="E60" i="69"/>
  <c r="E65" i="69" s="1"/>
  <c r="D60" i="69"/>
  <c r="D65" i="69" s="1"/>
  <c r="E23" i="69"/>
  <c r="G23" i="69"/>
  <c r="F23" i="69"/>
  <c r="D23" i="69"/>
  <c r="E141" i="67"/>
  <c r="H74" i="67"/>
  <c r="G74" i="67"/>
  <c r="E25" i="68"/>
  <c r="E22" i="68" s="1"/>
  <c r="H25" i="68"/>
  <c r="H22" i="68" s="1"/>
  <c r="H56" i="68" s="1"/>
  <c r="G25" i="68"/>
  <c r="G22" i="68" s="1"/>
  <c r="G56" i="68" s="1"/>
  <c r="F25" i="68"/>
  <c r="F22" i="68" s="1"/>
  <c r="F56" i="68" s="1"/>
  <c r="H54" i="68"/>
  <c r="G54" i="68"/>
  <c r="F54" i="68"/>
  <c r="H58" i="68" l="1"/>
  <c r="G58" i="68"/>
  <c r="F58" i="68"/>
  <c r="E56" i="68"/>
  <c r="E58" i="68" s="1"/>
  <c r="H34" i="68"/>
  <c r="E34" i="68"/>
  <c r="G34" i="68"/>
  <c r="F34" i="68"/>
  <c r="F123" i="62"/>
  <c r="I10" i="34"/>
  <c r="G10" i="34"/>
  <c r="H10" i="34"/>
  <c r="F10" i="34"/>
  <c r="E10" i="34"/>
  <c r="D10" i="34"/>
  <c r="E55" i="64"/>
  <c r="E56" i="64"/>
  <c r="D56" i="64"/>
  <c r="D55" i="64"/>
  <c r="E46" i="64"/>
  <c r="D46" i="64"/>
  <c r="E38" i="64"/>
  <c r="D38" i="64"/>
  <c r="D36" i="64"/>
  <c r="E31" i="64"/>
  <c r="D31" i="64"/>
  <c r="E25" i="64"/>
  <c r="D25" i="64"/>
  <c r="E13" i="64"/>
  <c r="D13" i="64"/>
  <c r="D58" i="64" s="1"/>
  <c r="E8" i="64"/>
  <c r="D8" i="64"/>
  <c r="F46" i="63"/>
  <c r="F47" i="63"/>
  <c r="E47" i="63"/>
  <c r="E46" i="63"/>
  <c r="F40" i="63"/>
  <c r="E40" i="63"/>
  <c r="F34" i="63"/>
  <c r="E34" i="63"/>
  <c r="E20" i="63"/>
  <c r="E54" i="63" s="1"/>
  <c r="F12" i="63"/>
  <c r="F7" i="63" s="1"/>
  <c r="E12" i="63"/>
  <c r="F9" i="63"/>
  <c r="E9" i="63"/>
  <c r="E7" i="63"/>
  <c r="F131" i="62"/>
  <c r="E131" i="62"/>
  <c r="E123" i="62"/>
  <c r="F113" i="62"/>
  <c r="E113" i="62"/>
  <c r="F110" i="62"/>
  <c r="E110" i="62"/>
  <c r="F98" i="62"/>
  <c r="E98" i="62"/>
  <c r="E93" i="62"/>
  <c r="E91" i="62" s="1"/>
  <c r="F91" i="62"/>
  <c r="F88" i="62"/>
  <c r="E88" i="62"/>
  <c r="F84" i="62"/>
  <c r="E84" i="62"/>
  <c r="E76" i="62"/>
  <c r="F40" i="62"/>
  <c r="F61" i="62"/>
  <c r="E61" i="62"/>
  <c r="F56" i="62"/>
  <c r="E56" i="62"/>
  <c r="F49" i="62"/>
  <c r="E49" i="62"/>
  <c r="E42" i="62"/>
  <c r="E40" i="62" s="1"/>
  <c r="F27" i="62"/>
  <c r="E27" i="62"/>
  <c r="E8" i="62" s="1"/>
  <c r="F17" i="62"/>
  <c r="E17" i="62"/>
  <c r="F10" i="62"/>
  <c r="F8" i="62" s="1"/>
  <c r="E10" i="62"/>
  <c r="E57" i="64" l="1"/>
  <c r="E22" i="64"/>
  <c r="E62" i="68"/>
  <c r="E71" i="68" s="1"/>
  <c r="H62" i="68"/>
  <c r="G62" i="68"/>
  <c r="F62" i="68"/>
  <c r="E58" i="64"/>
  <c r="E36" i="64"/>
  <c r="F20" i="63"/>
  <c r="F54" i="63" s="1"/>
  <c r="F52" i="63"/>
  <c r="F73" i="62"/>
  <c r="F140" i="62"/>
  <c r="D22" i="64"/>
  <c r="D57" i="64"/>
  <c r="E52" i="63"/>
  <c r="E32" i="63"/>
  <c r="E140" i="62"/>
  <c r="E73" i="62"/>
  <c r="F10" i="56"/>
  <c r="E60" i="64" l="1"/>
  <c r="E64" i="64" s="1"/>
  <c r="H71" i="68"/>
  <c r="G71" i="68"/>
  <c r="F71" i="68"/>
  <c r="D59" i="64"/>
  <c r="D60" i="64"/>
  <c r="D64" i="64" s="1"/>
  <c r="E56" i="63"/>
  <c r="D16" i="59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16" i="59"/>
  <c r="E16" i="59"/>
  <c r="F16" i="59"/>
  <c r="F14" i="56"/>
  <c r="F18" i="56"/>
  <c r="F22" i="56"/>
  <c r="F23" i="56"/>
  <c r="F26" i="56" s="1"/>
  <c r="F30" i="56"/>
  <c r="F35" i="56"/>
  <c r="F39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E60" i="63" l="1"/>
  <c r="G41" i="36"/>
  <c r="C19" i="36"/>
  <c r="G19" i="36"/>
  <c r="C41" i="36"/>
  <c r="E69" i="63" l="1"/>
</calcChain>
</file>

<file path=xl/sharedStrings.xml><?xml version="1.0" encoding="utf-8"?>
<sst xmlns="http://schemas.openxmlformats.org/spreadsheetml/2006/main" count="2119" uniqueCount="1047">
  <si>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</si>
  <si>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</si>
  <si>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</si>
  <si>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</si>
  <si>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</si>
  <si>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</si>
  <si>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</si>
  <si>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</si>
  <si>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</si>
  <si>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</si>
  <si>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</si>
  <si>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</si>
  <si>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</si>
  <si>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</si>
  <si>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</si>
  <si>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</si>
  <si>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</si>
  <si>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</si>
  <si>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</si>
  <si>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</si>
  <si>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</si>
  <si>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</si>
  <si>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</si>
  <si>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</si>
  <si>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</si>
  <si>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</si>
  <si>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</si>
  <si>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</si>
  <si>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</si>
  <si>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</si>
  <si>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</si>
  <si>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</si>
  <si>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</si>
  <si>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</si>
  <si>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</si>
  <si>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</si>
  <si>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</si>
  <si>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</si>
  <si>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</si>
  <si>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</si>
  <si>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</si>
  <si>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</si>
  <si>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</si>
  <si>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</si>
  <si>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</si>
  <si>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</si>
  <si>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</si>
  <si>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</si>
  <si>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</si>
  <si>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</si>
  <si>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</si>
  <si>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</si>
  <si>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</si>
  <si>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</si>
  <si>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</si>
  <si>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</si>
  <si>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</si>
  <si>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</si>
  <si>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</si>
  <si>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</si>
  <si>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</si>
  <si>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</si>
  <si>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</si>
  <si>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</si>
  <si>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</si>
  <si>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</si>
  <si>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</si>
  <si>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</si>
  <si>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</si>
  <si>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</si>
  <si>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</si>
  <si>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</si>
  <si>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</si>
  <si>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</si>
  <si>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</si>
  <si>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</si>
  <si>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</si>
  <si>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</si>
  <si>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</si>
  <si>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</si>
  <si>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</si>
  <si>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</si>
  <si>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</si>
  <si>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</si>
  <si>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</si>
  <si>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</si>
  <si>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</si>
  <si>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</si>
  <si>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</si>
  <si>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</si>
  <si>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</si>
  <si>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</si>
  <si>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</si>
  <si>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</si>
  <si>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</si>
  <si>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</si>
  <si>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</si>
  <si>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</si>
  <si>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</si>
  <si>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</si>
  <si>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</si>
  <si>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</si>
  <si>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</si>
  <si>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</si>
  <si>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</si>
  <si>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</si>
  <si>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</si>
  <si>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</si>
  <si>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</si>
  <si>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</si>
  <si>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</si>
  <si>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</si>
  <si>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</si>
  <si>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</si>
  <si>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</si>
  <si>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</si>
  <si>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</si>
  <si>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</si>
  <si>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</si>
  <si>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</si>
  <si>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</si>
  <si>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</si>
  <si>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</si>
  <si>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</si>
  <si>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</si>
  <si>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</si>
  <si>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</si>
  <si>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</si>
  <si>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</si>
  <si>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</si>
  <si>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</si>
  <si>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</si>
  <si>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</si>
  <si>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</si>
  <si>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</si>
  <si>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</si>
  <si>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</si>
  <si>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</si>
  <si>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</si>
  <si>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</si>
  <si>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</si>
  <si>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</si>
  <si>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</si>
  <si>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</si>
  <si>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</si>
  <si>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</si>
  <si>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</si>
  <si>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</si>
  <si>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</si>
  <si>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</si>
  <si>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</si>
  <si>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</si>
  <si>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</si>
  <si>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</si>
  <si>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</si>
  <si>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</si>
  <si>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</si>
  <si>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</si>
  <si>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</si>
  <si>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</si>
  <si>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</si>
  <si>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</si>
  <si>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</si>
  <si>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</si>
  <si>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</si>
  <si>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</si>
  <si>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</si>
  <si>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</si>
  <si>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</si>
  <si>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</si>
  <si>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</si>
  <si>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</si>
  <si>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</si>
  <si>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</si>
  <si>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</si>
  <si>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</si>
  <si>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</si>
  <si>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</si>
  <si>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</si>
  <si>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</si>
  <si>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</si>
  <si>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</si>
  <si>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</si>
  <si>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</si>
  <si>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</si>
  <si>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</si>
  <si>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</si>
  <si>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</si>
  <si>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</si>
  <si>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</si>
  <si>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</si>
  <si>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</si>
  <si>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</si>
  <si>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</si>
  <si>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</si>
  <si>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</si>
  <si>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</si>
  <si>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</si>
  <si>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</si>
  <si>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</si>
  <si>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</si>
  <si>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</si>
  <si>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</si>
  <si>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</si>
  <si>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</si>
  <si>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</si>
  <si>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</si>
  <si>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</si>
  <si>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</si>
  <si>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</si>
  <si>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</si>
  <si>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</si>
  <si>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</si>
  <si>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</si>
  <si>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</si>
  <si>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</si>
  <si>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</si>
  <si>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</si>
  <si>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</si>
  <si>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</si>
  <si>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</si>
  <si>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</si>
  <si>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</si>
  <si>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</si>
  <si>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</si>
  <si>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</si>
  <si>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</si>
  <si>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</si>
  <si>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</si>
  <si>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</si>
  <si>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</si>
  <si>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</si>
  <si>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</si>
  <si>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</si>
  <si>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</si>
  <si>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</si>
  <si>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</si>
  <si>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</si>
  <si>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</si>
  <si>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</si>
  <si>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</si>
  <si>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</si>
  <si>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</si>
  <si>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</si>
  <si>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</si>
  <si>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</si>
  <si>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</si>
  <si>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</si>
  <si>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</si>
  <si>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</si>
  <si>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</si>
  <si>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</si>
  <si>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</si>
  <si>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</si>
  <si>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</si>
  <si>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</si>
  <si>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</si>
  <si>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</si>
  <si>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</si>
  <si>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</si>
  <si>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</si>
  <si>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</si>
  <si>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</si>
  <si>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</si>
  <si>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</si>
  <si>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</si>
  <si>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</si>
  <si>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</si>
  <si>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</si>
  <si>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</si>
  <si>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</si>
  <si>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</si>
  <si>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</si>
  <si>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</si>
  <si>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</si>
  <si>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</si>
  <si>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</si>
  <si>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</si>
  <si>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</si>
  <si>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</si>
  <si>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</si>
  <si>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</si>
  <si>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</si>
  <si>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</si>
  <si>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</si>
  <si>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</si>
  <si>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</si>
  <si>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</si>
  <si>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</si>
  <si>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</si>
  <si>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</si>
  <si>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</si>
  <si>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</si>
  <si>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</si>
  <si>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</si>
  <si>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</si>
  <si>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</si>
  <si>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</si>
  <si>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</si>
  <si>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</si>
  <si>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</si>
  <si>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</si>
  <si>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</si>
  <si>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</si>
  <si>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</si>
  <si>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</si>
  <si>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</si>
  <si>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</si>
  <si>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</si>
  <si>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</si>
  <si>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</si>
  <si>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</si>
  <si>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</si>
  <si>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</si>
  <si>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</si>
  <si>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</si>
  <si>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</si>
  <si>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</si>
  <si>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</si>
  <si>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</si>
  <si>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</si>
  <si>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</si>
  <si>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</si>
  <si>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</si>
  <si>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</si>
  <si>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</si>
  <si>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</si>
  <si>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</si>
  <si>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</si>
  <si>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</si>
  <si>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</si>
  <si>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</si>
  <si>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</si>
  <si>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</si>
  <si>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</si>
  <si>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</si>
  <si>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</si>
  <si>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</si>
  <si>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</si>
  <si>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</si>
  <si>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</si>
  <si>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</si>
  <si>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</si>
  <si>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</si>
  <si>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</si>
  <si>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</si>
  <si>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</si>
  <si>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</si>
  <si>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</si>
  <si>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</si>
  <si>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</si>
  <si>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</si>
  <si>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</si>
  <si>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</si>
  <si>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</si>
  <si>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</si>
  <si>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</si>
  <si>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</si>
  <si>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</si>
  <si>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</si>
  <si>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</si>
  <si>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</si>
  <si>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</si>
  <si>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</si>
  <si>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</si>
  <si>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</si>
  <si>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</si>
  <si>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</si>
  <si>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</si>
  <si>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</si>
  <si>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</si>
  <si>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</si>
  <si>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</si>
  <si>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</si>
  <si>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</si>
  <si>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</si>
  <si>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</si>
  <si>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</si>
  <si>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</si>
  <si>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</si>
  <si>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</si>
  <si>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</si>
  <si>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</si>
  <si>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</si>
  <si>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</si>
  <si>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</si>
  <si>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</si>
  <si>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</si>
  <si>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</si>
  <si>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</si>
  <si>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</si>
  <si>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</si>
  <si>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</si>
  <si>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</si>
  <si>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</si>
  <si>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</si>
  <si>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</si>
  <si>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</si>
  <si>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</si>
  <si>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</si>
  <si>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</si>
  <si>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</si>
  <si>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</si>
  <si>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</si>
  <si>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</si>
  <si>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</si>
  <si>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</si>
  <si>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</si>
  <si>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</si>
  <si>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</si>
  <si>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</si>
  <si>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</si>
  <si>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</si>
  <si>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</si>
  <si>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</si>
  <si>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</si>
  <si>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</si>
  <si>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</si>
  <si>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</si>
  <si>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</si>
  <si>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</si>
  <si>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</si>
  <si>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</si>
  <si>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</si>
  <si>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</si>
  <si>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</si>
  <si>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</si>
  <si>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</si>
  <si>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</si>
  <si>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</si>
  <si>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</si>
  <si>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</si>
  <si>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</si>
  <si>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</si>
  <si>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</si>
  <si>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</si>
  <si>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</si>
  <si>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</si>
  <si>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</si>
  <si>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</si>
  <si>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</si>
  <si>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</si>
  <si>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</si>
  <si>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</si>
  <si>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</si>
  <si>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</si>
  <si>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</si>
  <si>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</si>
  <si>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</si>
  <si>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</si>
  <si>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</si>
  <si>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</si>
  <si>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</si>
  <si>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</si>
  <si>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</si>
  <si>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</si>
  <si>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</si>
  <si>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</si>
  <si>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</si>
  <si>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</si>
  <si>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</si>
  <si>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</si>
  <si>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</si>
  <si>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</si>
  <si>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</si>
  <si>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</si>
  <si>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</si>
  <si>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</si>
  <si>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</si>
  <si>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</si>
  <si>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</si>
  <si>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</si>
  <si>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</si>
  <si>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</si>
  <si>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</si>
  <si>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</si>
  <si>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</si>
  <si>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</si>
  <si>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</si>
  <si>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</si>
  <si>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</si>
  <si>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</si>
  <si>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</si>
  <si>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</si>
  <si>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</si>
  <si>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</si>
  <si>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</si>
  <si>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</si>
  <si>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</si>
  <si>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</si>
  <si>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</si>
  <si>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</si>
  <si>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</si>
  <si>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</si>
  <si>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</si>
  <si>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</si>
  <si>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</si>
  <si>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</si>
  <si>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</si>
  <si>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</si>
  <si>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</si>
  <si>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</si>
  <si>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</si>
  <si>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</si>
  <si>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</si>
  <si>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</si>
  <si>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</si>
  <si>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</si>
  <si>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</si>
  <si>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</si>
  <si>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</si>
  <si>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</si>
  <si>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</si>
  <si>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</si>
  <si>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</si>
  <si>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</si>
  <si>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</si>
  <si>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</si>
  <si>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</si>
  <si>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</si>
  <si>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</si>
  <si>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</si>
  <si>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</si>
  <si>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</si>
  <si>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</si>
  <si>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</si>
  <si>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</si>
  <si>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</si>
  <si>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</si>
  <si>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</si>
  <si>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</si>
  <si>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</si>
  <si>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</si>
  <si>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</si>
  <si>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</si>
  <si>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</si>
  <si>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</si>
  <si>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</si>
  <si>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</si>
  <si>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</si>
  <si>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</si>
  <si>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</si>
  <si>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</si>
  <si>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</si>
  <si>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</si>
  <si>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</si>
  <si>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</si>
  <si>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</si>
  <si>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</si>
  <si>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</si>
  <si>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</si>
  <si>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</si>
  <si>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</si>
  <si>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</si>
  <si>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</si>
  <si>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</si>
  <si>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</si>
  <si>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</si>
  <si>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</si>
  <si>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</si>
  <si>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</si>
  <si>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</si>
  <si>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</si>
  <si>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</si>
  <si>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</si>
  <si>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</si>
  <si>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</si>
  <si>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</si>
  <si>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</si>
  <si>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</si>
  <si>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</si>
  <si>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</si>
  <si>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</si>
  <si>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</si>
  <si>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</si>
  <si>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</si>
  <si>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</si>
  <si>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</si>
  <si>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</si>
  <si>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</si>
  <si>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</si>
  <si>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</si>
  <si>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</si>
  <si>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</si>
  <si>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</si>
  <si>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</si>
  <si>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</si>
  <si>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</si>
  <si>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</si>
  <si>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</si>
  <si>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</si>
  <si>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</si>
  <si>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</si>
  <si>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</si>
  <si>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</si>
  <si>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</si>
  <si>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</si>
  <si>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</si>
  <si>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</si>
  <si>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</si>
  <si>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</si>
  <si>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</si>
  <si>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</si>
  <si>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</si>
  <si>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</si>
  <si>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</si>
  <si>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</si>
  <si>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</si>
  <si>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</si>
  <si>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</si>
  <si>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</si>
  <si>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</si>
  <si>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</si>
  <si>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</si>
  <si>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</si>
  <si>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</si>
  <si>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</si>
  <si>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</si>
  <si>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</si>
  <si>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</si>
  <si>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</si>
  <si>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</si>
  <si>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</si>
  <si>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</si>
  <si>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</si>
  <si>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</si>
  <si>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</si>
  <si>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</si>
  <si>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</si>
  <si>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</si>
  <si>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</si>
  <si>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</si>
  <si>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</si>
  <si>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</si>
  <si>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</si>
  <si>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</si>
  <si>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</si>
  <si>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</si>
  <si>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</si>
  <si>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</si>
  <si>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</si>
  <si>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</si>
  <si>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</si>
  <si>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</si>
  <si>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</si>
  <si>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</si>
  <si>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</si>
  <si>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</si>
  <si>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</si>
  <si>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</si>
  <si>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</si>
  <si>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</si>
  <si>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</si>
  <si>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</si>
  <si>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</si>
  <si>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</si>
  <si>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</si>
  <si>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</si>
  <si>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</si>
  <si>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</si>
  <si>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</si>
  <si>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</si>
  <si>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</si>
  <si>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</si>
  <si>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</si>
  <si>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</si>
  <si>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</si>
  <si>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</si>
  <si>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</si>
  <si>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</si>
  <si>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</si>
  <si>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</si>
  <si>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</si>
  <si>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</si>
  <si>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</si>
  <si>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</si>
  <si>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</si>
  <si>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</si>
  <si>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</si>
  <si>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</si>
  <si>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</si>
  <si>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</si>
  <si>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</si>
  <si>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</si>
  <si>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</si>
  <si>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</si>
  <si>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</si>
  <si>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</si>
  <si>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</si>
  <si>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</si>
  <si>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</si>
  <si>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</si>
  <si>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</si>
  <si>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</si>
  <si>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</si>
  <si>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</si>
  <si>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</si>
  <si>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</si>
  <si>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</si>
  <si>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</si>
  <si>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</si>
  <si>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</si>
  <si>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</si>
  <si>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</si>
  <si>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</si>
  <si>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</si>
  <si>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</si>
  <si>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</si>
  <si>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</si>
  <si>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</si>
  <si>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</si>
  <si>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</si>
  <si>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</si>
  <si>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</si>
  <si>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</si>
  <si>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</si>
  <si>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</si>
  <si>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</si>
  <si>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</si>
  <si>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</si>
  <si>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</si>
  <si>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</si>
  <si>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</si>
  <si>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</si>
  <si>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</si>
  <si>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</si>
  <si>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</si>
  <si>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</si>
  <si>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</si>
  <si>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</si>
  <si>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</si>
  <si>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</si>
  <si>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</si>
  <si>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</si>
  <si>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</si>
  <si>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</si>
  <si>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</si>
  <si>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</si>
  <si>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</si>
  <si>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</si>
  <si>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</si>
  <si>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</si>
  <si>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</si>
  <si>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</si>
  <si>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</si>
  <si>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</si>
  <si>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</si>
  <si>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</si>
  <si>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</si>
  <si>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</si>
  <si>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</si>
  <si>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</si>
  <si>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</si>
  <si>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</si>
  <si>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</si>
  <si>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</si>
  <si>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</si>
  <si>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</si>
  <si>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</si>
  <si>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</si>
  <si>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</si>
  <si>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</si>
  <si>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</si>
  <si>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</si>
  <si>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</si>
  <si>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</si>
  <si>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</si>
  <si>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</si>
  <si>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</si>
  <si>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</si>
  <si>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</si>
  <si>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</si>
  <si>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</si>
  <si>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</si>
  <si>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</si>
  <si>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</si>
  <si>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</si>
  <si>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</si>
  <si>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</si>
  <si>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</si>
  <si>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</si>
  <si>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</si>
  <si>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</si>
  <si>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</si>
  <si>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</si>
  <si>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</si>
  <si>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</si>
  <si>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</si>
  <si>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</si>
  <si>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</si>
  <si>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</si>
  <si>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</si>
  <si>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</si>
  <si>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</si>
  <si>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Стање на дан 31.12.2022.</t>
  </si>
  <si>
    <t>Прилог 10.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</si>
  <si>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</si>
  <si>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</si>
  <si>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</si>
  <si>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</si>
  <si>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</si>
  <si>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за период од 01.01.2024. до 31.12.2024. године</t>
  </si>
  <si>
    <t>у периоду од 01.01. до 31.12.2024. године</t>
  </si>
  <si>
    <t>Број на дан 31.12.2024.</t>
  </si>
  <si>
    <t>Број запослених 31.12.2024.</t>
  </si>
  <si>
    <t>Стање кредитне задужености у оригиналној валути
на дан 31.12.2024. године</t>
  </si>
  <si>
    <t>Стање на дан 31.12.2024. године</t>
  </si>
  <si>
    <t xml:space="preserve">** позиције од 5 до 31 које се исказују у новчаним јединицама приказати у бруто износу </t>
  </si>
  <si>
    <t>Реализација (процена) на дан 31.12.2024.</t>
  </si>
  <si>
    <t>План
01.01-31.12.2024.</t>
  </si>
  <si>
    <t>Реализација (процена)
01.01-31.12.2024.</t>
  </si>
  <si>
    <t>2027. година</t>
  </si>
  <si>
    <t>2023. година реализација</t>
  </si>
  <si>
    <t>2024. година реализација (процена)</t>
  </si>
  <si>
    <t>План 2025. година</t>
  </si>
  <si>
    <t>Стање на дан 31.12.2024.</t>
  </si>
  <si>
    <t>План на дан 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</si>
  <si>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</si>
  <si>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</si>
  <si>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</si>
  <si>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</si>
  <si>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</si>
  <si>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за период од 01.01.2025. до 31.12.2025. године</t>
  </si>
  <si>
    <t>План                
01.01-31.03.2025.</t>
  </si>
  <si>
    <t>План
01.01-30.06.2025.</t>
  </si>
  <si>
    <t>План
01.01-30.09.2025.</t>
  </si>
  <si>
    <t>План                  
01.01-31.12.2025.</t>
  </si>
  <si>
    <t>у периоду од 01.01. до 31.12.2025. године</t>
  </si>
  <si>
    <t>План 
01.01-31.03.2025.</t>
  </si>
  <si>
    <t>План 
01.01-30.09.2025.</t>
  </si>
  <si>
    <t>План 
01.01-31.12.2025.</t>
  </si>
  <si>
    <t xml:space="preserve"> 01.01-31.12.2024. године</t>
  </si>
  <si>
    <t>План за период 01.01-31.12.2025. године</t>
  </si>
  <si>
    <t xml:space="preserve">План 
01.01-31.12.2024. </t>
  </si>
  <si>
    <t xml:space="preserve">Реализација (процена) 
01.01-31.12.2024. </t>
  </si>
  <si>
    <t>План
01.01-31.03.2025.</t>
  </si>
  <si>
    <t>Број запослених по секторима / организационим јединицама на дан 31.12.2024. године</t>
  </si>
  <si>
    <t>Број на дан 31.12.2025.</t>
  </si>
  <si>
    <t>Број запослених 31.12.2025.</t>
  </si>
  <si>
    <t>Одлив кадрова у периоду 
01.01-31.03.2025.</t>
  </si>
  <si>
    <t>Пријем кадрова у периоду 
01.01-31.03.2025.</t>
  </si>
  <si>
    <t>Стање на дан 31.03.2025. године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</si>
  <si>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</si>
  <si>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</si>
  <si>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</si>
  <si>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Одлив кадрова у периоду 
01.07-30.09.2025.</t>
  </si>
  <si>
    <t>Пријем кадрова у периоду 
01.07-30.09.2025.</t>
  </si>
  <si>
    <t>Стање на дан 30.09.2025. године</t>
  </si>
  <si>
    <t>Одлив кадрова у периоду 
01.10-31.12.2025.</t>
  </si>
  <si>
    <t>Пријем кадрова у периоду 
01.10-31.12.2025.</t>
  </si>
  <si>
    <t>Стање на дан 31.12.2025. године</t>
  </si>
  <si>
    <t>Исплаћена маса за зараде, број запослених и просечна зарада по месецима за 2024. годину*- Бруто 1</t>
  </si>
  <si>
    <t>Исплата по месецима  2024.</t>
  </si>
  <si>
    <t xml:space="preserve">Планирана маса за зараде, број запослених и просечна зарада по месецима за 2025. годину - Бруто 1 </t>
  </si>
  <si>
    <t>План по месецима  2025.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</si>
  <si>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</si>
  <si>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</si>
  <si>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Исплаћена у 2024. години</t>
  </si>
  <si>
    <t>Планирана у 2025. години</t>
  </si>
  <si>
    <t>** старозапослени у 2024. години су они запослени који су били у радном односу у децембру 2023. године</t>
  </si>
  <si>
    <t>Реализација  по месецима  2025.</t>
  </si>
  <si>
    <t>Реализација по месецима  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</si>
  <si>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</si>
  <si>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</si>
  <si>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</si>
  <si>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</si>
  <si>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</si>
  <si>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</si>
  <si>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</si>
  <si>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</si>
  <si>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динарима
на дан 31.12.2024.
године</t>
  </si>
  <si>
    <t xml:space="preserve"> План плаћања по кредиту за 2025. годину                      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</si>
  <si>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</si>
  <si>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</si>
  <si>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</si>
  <si>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Реализовано закључно са 31.12.2024. године</t>
  </si>
  <si>
    <t xml:space="preserve">План                                2026. година                 </t>
  </si>
  <si>
    <t xml:space="preserve">План                               2027. година                 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</si>
  <si>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</si>
  <si>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</si>
  <si>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</si>
  <si>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t>Исплаћена маса за зараде, број запослених и просечна зарада по месецима за 2024.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2024. године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</si>
  <si>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</si>
  <si>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</si>
  <si>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</si>
  <si>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</si>
  <si>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</si>
  <si>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</si>
  <si>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</si>
  <si>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Повећање покривености територије планском и урбанистичком документацијом</t>
  </si>
  <si>
    <t>Усвојен 
просторни план општине</t>
  </si>
  <si>
    <t>не</t>
  </si>
  <si>
    <t>да</t>
  </si>
  <si>
    <t xml:space="preserve">1. Програм пословања ЈП за развој
2. План јавних набавки
3. Извештаји о оствареним учинцима </t>
  </si>
  <si>
    <t>Стављање у функцију грађевинског земљишта</t>
  </si>
  <si>
    <t>Адекватан квалитет пружених услуга уређења и одржавања јавних зелених површина</t>
  </si>
  <si>
    <t>Број 
извршених инспекцијских контрола</t>
  </si>
  <si>
    <t>Максимална могућа покривеност насеља и територије услугама оджавања чистоће јавних површина</t>
  </si>
  <si>
    <t>Степен 
покривености територије услугама одржавања чистоће јавно -прометних површина  (број улица које се чисте у односу на укупан број улица)</t>
  </si>
  <si>
    <t>Адекватан квалитет пружених услуга одвођења отпадним водама</t>
  </si>
  <si>
    <t>Број 
интервенција на канализационој мрежи</t>
  </si>
  <si>
    <t>Одржавање квалитета улица кроз реконструкцију и редовно одржавање асфалтног покривача</t>
  </si>
  <si>
    <t>Неуспешно спроведена јавна набавка</t>
  </si>
  <si>
    <t>Ризик од малверзација, набавка робе и добара мањег квалитета од потребних</t>
  </si>
  <si>
    <t>Грешке у припреми тендерске документације</t>
  </si>
  <si>
    <t>Погрешан обрачун у фактурама</t>
  </si>
  <si>
    <t>Пословање неће бити у складу са законским нормама</t>
  </si>
  <si>
    <t>Ризик ликвидности</t>
  </si>
  <si>
    <t>Грешке у књижењу</t>
  </si>
  <si>
    <t>Уплата на погрешан жиро рачун</t>
  </si>
  <si>
    <t>Неблаговремен и нетачан попис имовине и обавеза</t>
  </si>
  <si>
    <t>Финансијски ризик</t>
  </si>
  <si>
    <t>Непријављивање штете</t>
  </si>
  <si>
    <t>Оперативни ризик од ненамеснког коришћења</t>
  </si>
  <si>
    <t>Неовлашћен приступ информациjама</t>
  </si>
  <si>
    <t>Лоше процењена вредност радова</t>
  </si>
  <si>
    <t>Лоше изведени радови</t>
  </si>
  <si>
    <t>Немогућност отклањања квара</t>
  </si>
  <si>
    <t>Донети интерно упутство о праћењу спровођења уговора. Квартално извештавање руководства о реализацијама јавних набавки</t>
  </si>
  <si>
    <r>
      <t xml:space="preserve">Објављивати уговоре </t>
    </r>
    <r>
      <rPr>
        <i/>
        <sz val="11"/>
        <rFont val="Arial"/>
        <family val="2"/>
        <charset val="238"/>
      </rPr>
      <t xml:space="preserve">и </t>
    </r>
    <r>
      <rPr>
        <sz val="11"/>
        <rFont val="Arial"/>
        <family val="2"/>
        <charset val="238"/>
      </rPr>
      <t>све анексе уговора на иитернет страници. Објављивати позиве за учешће у поступцима јавних набавки</t>
    </r>
  </si>
  <si>
    <t>Дупла контрола тендерске документације пре него што се објави</t>
  </si>
  <si>
    <t>Надзор над процесом</t>
  </si>
  <si>
    <t>Семинари, претплата на стручну литературу и слично</t>
  </si>
  <si>
    <t>Квалитетније уговарање наплате приликом преговарања око нових послова</t>
  </si>
  <si>
    <t>Двојна контрола</t>
  </si>
  <si>
    <t>Редовна контрола</t>
  </si>
  <si>
    <t>Контролисање важности полисе осигурања</t>
  </si>
  <si>
    <t>Праћење процедуре</t>
  </si>
  <si>
    <t>Надзор над процедуром</t>
  </si>
  <si>
    <t>Прикупљање што више информација о расходима</t>
  </si>
  <si>
    <t>Надзор над извођењем радова</t>
  </si>
  <si>
    <t>Редовно одржавање имовине како би се избегли кварови који проузрокују трајне последице</t>
  </si>
  <si>
    <t>Технички послови</t>
  </si>
  <si>
    <t>Рачуновидствени и
економско 
финасијски послови</t>
  </si>
  <si>
    <t>Правни и општи послови</t>
  </si>
  <si>
    <t>Јавне набавке</t>
  </si>
  <si>
    <t>попуњавање систематизованих радних места</t>
  </si>
  <si>
    <t>10.</t>
  </si>
  <si>
    <t>11.</t>
  </si>
  <si>
    <t>12.</t>
  </si>
  <si>
    <t>13.</t>
  </si>
  <si>
    <t>14.</t>
  </si>
  <si>
    <t>15.</t>
  </si>
  <si>
    <t>Канцеларијски материјал</t>
  </si>
  <si>
    <t>Производи за одржавање хигијене</t>
  </si>
  <si>
    <t>Остали материјал за посебне намене</t>
  </si>
  <si>
    <t>Набавка горива</t>
  </si>
  <si>
    <t>Набавка електричне енергије- ЈП за развој</t>
  </si>
  <si>
    <t>Остали материјал за превозна средства- аутогуме</t>
  </si>
  <si>
    <t>Опрема за БЗНР</t>
  </si>
  <si>
    <t>Вода за пиће</t>
  </si>
  <si>
    <t>Поклони</t>
  </si>
  <si>
    <t>Намештај</t>
  </si>
  <si>
    <t>Рачунарска опрема</t>
  </si>
  <si>
    <t>Комуникацијска опрема</t>
  </si>
  <si>
    <t>Остала опрема за домаћинство</t>
  </si>
  <si>
    <t>Стручна литература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</si>
  <si>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</si>
  <si>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</si>
  <si>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</si>
  <si>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</si>
  <si>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</si>
  <si>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</si>
  <si>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</si>
  <si>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</si>
  <si>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</si>
  <si>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</si>
  <si>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</si>
  <si>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</si>
  <si>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</si>
  <si>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</si>
  <si>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</si>
  <si>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</si>
  <si>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</si>
  <si>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</si>
  <si>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</si>
  <si>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Услуге комуникација- телефони,
интернет, пошта, достава</t>
  </si>
  <si>
    <t>Одржавање опреме, возила и зграда</t>
  </si>
  <si>
    <t>Комуналне услуге-
вода, канализација, смеће, чишћења</t>
  </si>
  <si>
    <t>Услуге надзора из области БЗНР</t>
  </si>
  <si>
    <t>Услуге ППЗ</t>
  </si>
  <si>
    <t>Остале услуге штампања</t>
  </si>
  <si>
    <t>Остале опште услуге</t>
  </si>
  <si>
    <t>Услуге ревизије</t>
  </si>
  <si>
    <t>Адвокатске услуге и услуге вештачења</t>
  </si>
  <si>
    <t>Консталтинг услуге</t>
  </si>
  <si>
    <t>Услуге образовања и усавршавања
запослених, котизације, семинари</t>
  </si>
  <si>
    <t>Остале стручне услиге- обезбеђење 
(видео надзор)</t>
  </si>
  <si>
    <t>Одржавање софтвера</t>
  </si>
  <si>
    <t>Угоститељске услуге</t>
  </si>
  <si>
    <t>Услуге осигурања- возила, опреме и запослених</t>
  </si>
  <si>
    <t>Објављивање тендера и информативних огласа</t>
  </si>
  <si>
    <t>Уговори о делу</t>
  </si>
  <si>
    <t>Транспорт и уградња материјала за путеве</t>
  </si>
  <si>
    <t>Текуће одржавање путева у зимском периоду</t>
  </si>
  <si>
    <t>Услуге одржавања по инспекцијским налозима</t>
  </si>
  <si>
    <t>Ванредне ситуације</t>
  </si>
  <si>
    <t>Услуге стручног надзора за послове проширења некатегорисаних  путева</t>
  </si>
  <si>
    <t>Геодетске услуге</t>
  </si>
  <si>
    <t>Накнада за одржавање путних прелаза</t>
  </si>
  <si>
    <t>Уређење водотокова и одржавање канала</t>
  </si>
  <si>
    <t>Уклањање отпадних вода у канализационим мрежама</t>
  </si>
  <si>
    <t>Кошење зелених површина</t>
  </si>
  <si>
    <t>Чишћење јавних и зелених површина</t>
  </si>
  <si>
    <t>Одржавање паркова и осталих зелених површина</t>
  </si>
  <si>
    <t>Чишћење дивљих депонија</t>
  </si>
  <si>
    <t>Израда огласних табли</t>
  </si>
  <si>
    <t>Услуге стручног надзора за послове изградње објеката</t>
  </si>
  <si>
    <t>Израда планова и пројеката и урбанистичке документације</t>
  </si>
  <si>
    <t>Техничка контрола и елаборати</t>
  </si>
  <si>
    <t>Уређење некатегорисаних и атарских путева</t>
  </si>
  <si>
    <t>Реконструкција, адаптација и доградња пословно-административног објекта за потребе Центра за културу</t>
  </si>
  <si>
    <t>Реконструкција и адаптација школе у Живковцу</t>
  </si>
  <si>
    <t>Спортска хала у Гроцкој</t>
  </si>
  <si>
    <t>Санација и адаптација објекта вртића у Умчарима</t>
  </si>
  <si>
    <t>Изградња водоводне мреже у Ритопеку</t>
  </si>
  <si>
    <t>Уређење и редовно одржавање мобилијара</t>
  </si>
  <si>
    <t>Уређење и редовно одравање аутобуских стајалишта</t>
  </si>
  <si>
    <t xml:space="preserve">Одржавање објеката којима управља ГО Гроцка </t>
  </si>
  <si>
    <t>Редовно одржавање обкеката на некатегорисаним путевима</t>
  </si>
  <si>
    <t>изградња секундарне водоводне мреже у Врчину</t>
  </si>
  <si>
    <t>Реконструкција моста 15. маја</t>
  </si>
  <si>
    <t>Повезивање водоводне мреже у Камендолу</t>
  </si>
  <si>
    <t>Радови на санацији и реконструкцији водоводних мрежа на територији ГО у току реконструкције улица</t>
  </si>
  <si>
    <t>Резервоар Врчин- качење на базен</t>
  </si>
  <si>
    <t>Израда пројектне документације</t>
  </si>
  <si>
    <t>Санација и реконструкција две зграде Општинске управе у улици Булевар ослобођења 26 и 39 у Гроцкој</t>
  </si>
  <si>
    <t>Изградња секундарне водоводне мреже у Ритопеку</t>
  </si>
  <si>
    <t>Изградња секундарне водоводне мреже у Врчину</t>
  </si>
  <si>
    <t>Реконструкција моста у улици 15. маја</t>
  </si>
  <si>
    <t>Уређење мобилијара и усклађење са Правилником</t>
  </si>
  <si>
    <t>Уређење аутобуских стајалишта</t>
  </si>
  <si>
    <t>Одржавање објеката којима управља ГО Гроцка</t>
  </si>
  <si>
    <t>Радови на санацији и реконструкцији водоводних мрежа на територији ГО Гроцка у току реконструкције улица</t>
  </si>
  <si>
    <t>Реконструкција, адаптација и доградња пословно-администартивног објекта за потребе Центра за културу Гроцка и набавка пројектора и платна</t>
  </si>
  <si>
    <t>Проценат 
површине покривен плановима детаљне регулације</t>
  </si>
  <si>
    <t>Број 
локација комунално опремљених објеката</t>
  </si>
  <si>
    <t>Број 
км санираних и/или реконструисаних улица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</si>
  <si>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01.01.2025. до 31.12. 2025.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</si>
  <si>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01.01.2025. до 31.12.2025. године - Бруто 2</t>
  </si>
  <si>
    <t>ЈКП ПАРКИНГ СЕРВИС</t>
  </si>
  <si>
    <t>текућа ликвидност</t>
  </si>
  <si>
    <t>РСД</t>
  </si>
  <si>
    <t>15.12.2024.</t>
  </si>
  <si>
    <t>Уређење дечјих игралишта "Кутак за одмор"</t>
  </si>
  <si>
    <t>35</t>
  </si>
  <si>
    <t>Оперативни лизинг аутомобила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</si>
</sst>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\+0%;\-0%;0%;"/>
  </numFmts>
  <fonts count="5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029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0" fontId="7" fillId="0" borderId="2" xfId="0" applyFont="1" applyBorder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2" xfId="0" applyBorder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Border="1" applyAlignment="1">
      <alignment horizontal="center" vertical="center"/>
    </xf>
    <xf numFmtId="3" fontId="5" fillId="0" borderId="45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Border="1" applyAlignment="1">
      <alignment horizontal="center" vertical="center"/>
    </xf>
    <xf numFmtId="3" fontId="5" fillId="0" borderId="46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9" borderId="0" xfId="0" applyFont="1" applyFill="1"/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51" xfId="0" applyFont="1" applyBorder="1" applyAlignment="1">
      <alignment horizontal="left" vertical="center"/>
    </xf>
    <xf numFmtId="3" fontId="26" fillId="0" borderId="51" xfId="0" applyNumberFormat="1" applyFont="1" applyBorder="1" applyAlignment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left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49" fontId="15" fillId="7" borderId="5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6" fillId="7" borderId="5" xfId="0" applyFont="1" applyFill="1" applyBorder="1" applyAlignment="1">
      <alignment horizontal="right" vertical="center"/>
    </xf>
    <xf numFmtId="3" fontId="26" fillId="7" borderId="5" xfId="0" applyNumberFormat="1" applyFont="1" applyFill="1" applyBorder="1" applyAlignment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4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5" xfId="3" applyFont="1" applyFill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1" fillId="7" borderId="7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0" borderId="53" xfId="3" applyNumberFormat="1" applyFont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5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29" fillId="0" borderId="2" xfId="0" applyFont="1" applyBorder="1"/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9" fillId="7" borderId="67" xfId="0" applyFont="1" applyFill="1" applyBorder="1" applyAlignment="1">
      <alignment horizontal="center" vertical="center"/>
    </xf>
    <xf numFmtId="0" fontId="39" fillId="7" borderId="87" xfId="0" applyFont="1" applyFill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0" fontId="40" fillId="7" borderId="87" xfId="0" applyFont="1" applyFill="1" applyBorder="1" applyAlignment="1">
      <alignment horizontal="center" vertical="center"/>
    </xf>
    <xf numFmtId="0" fontId="40" fillId="7" borderId="88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0" fontId="43" fillId="0" borderId="0" xfId="0" applyFont="1"/>
    <xf numFmtId="0" fontId="35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35" fillId="0" borderId="0" xfId="0" applyFont="1"/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7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0" fontId="30" fillId="9" borderId="58" xfId="0" applyFont="1" applyFill="1" applyBorder="1"/>
    <xf numFmtId="0" fontId="30" fillId="7" borderId="59" xfId="0" applyFont="1" applyFill="1" applyBorder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7" borderId="40" xfId="0" applyFont="1" applyFill="1" applyBorder="1"/>
    <xf numFmtId="0" fontId="44" fillId="0" borderId="0" xfId="0" applyFont="1"/>
    <xf numFmtId="0" fontId="37" fillId="0" borderId="0" xfId="0" applyFont="1" applyAlignment="1">
      <alignment horizontal="right"/>
    </xf>
    <xf numFmtId="0" fontId="34" fillId="6" borderId="99" xfId="0" applyFont="1" applyFill="1" applyBorder="1" applyAlignment="1">
      <alignment horizontal="center" vertical="center" wrapText="1"/>
    </xf>
    <xf numFmtId="0" fontId="34" fillId="6" borderId="100" xfId="0" applyFont="1" applyFill="1" applyBorder="1" applyAlignment="1">
      <alignment horizontal="center" vertical="center" wrapText="1"/>
    </xf>
    <xf numFmtId="0" fontId="30" fillId="0" borderId="103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101" xfId="0" applyFont="1" applyBorder="1" applyAlignment="1">
      <alignment horizontal="left" vertical="center" wrapText="1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30" fillId="0" borderId="2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 wrapText="1"/>
    </xf>
    <xf numFmtId="0" fontId="45" fillId="0" borderId="0" xfId="0" applyFont="1"/>
    <xf numFmtId="0" fontId="44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44" fillId="0" borderId="2" xfId="0" applyFont="1" applyBorder="1" applyProtection="1">
      <protection locked="0"/>
    </xf>
    <xf numFmtId="0" fontId="34" fillId="7" borderId="9" xfId="0" applyFont="1" applyFill="1" applyBorder="1" applyAlignment="1" applyProtection="1">
      <alignment horizontal="center" vertical="center"/>
      <protection locked="0"/>
    </xf>
    <xf numFmtId="0" fontId="34" fillId="7" borderId="31" xfId="0" applyFont="1" applyFill="1" applyBorder="1" applyAlignment="1" applyProtection="1">
      <alignment horizontal="center" vertical="center"/>
      <protection locked="0"/>
    </xf>
    <xf numFmtId="0" fontId="34" fillId="7" borderId="12" xfId="0" applyFont="1" applyFill="1" applyBorder="1" applyAlignment="1" applyProtection="1">
      <alignment horizontal="center" vertical="center" wrapText="1"/>
      <protection locked="0"/>
    </xf>
    <xf numFmtId="0" fontId="34" fillId="7" borderId="104" xfId="0" applyFont="1" applyFill="1" applyBorder="1" applyAlignment="1" applyProtection="1">
      <alignment horizontal="center" vertical="center" wrapText="1"/>
      <protection locked="0"/>
    </xf>
    <xf numFmtId="0" fontId="34" fillId="7" borderId="105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8" borderId="32" xfId="0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8" borderId="13" xfId="0" applyFont="1" applyFill="1" applyBorder="1" applyAlignment="1" applyProtection="1">
      <alignment horizontal="center" vertical="center"/>
      <protection hidden="1"/>
    </xf>
    <xf numFmtId="0" fontId="30" fillId="8" borderId="20" xfId="0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3" fontId="30" fillId="0" borderId="27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6" fillId="0" borderId="0" xfId="0" applyFo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5" xfId="0" applyFont="1" applyBorder="1"/>
    <xf numFmtId="0" fontId="1" fillId="0" borderId="79" xfId="0" applyFont="1" applyBorder="1" applyAlignment="1">
      <alignment horizontal="right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0" fontId="1" fillId="0" borderId="39" xfId="0" applyFont="1" applyBorder="1" applyAlignment="1">
      <alignment horizontal="center" vertical="center"/>
    </xf>
    <xf numFmtId="0" fontId="1" fillId="8" borderId="68" xfId="0" applyFont="1" applyFill="1" applyBorder="1"/>
    <xf numFmtId="0" fontId="1" fillId="8" borderId="83" xfId="0" applyFont="1" applyFill="1" applyBorder="1" applyAlignment="1">
      <alignment horizontal="right"/>
    </xf>
    <xf numFmtId="165" fontId="1" fillId="8" borderId="51" xfId="5" applyNumberFormat="1" applyFont="1" applyFill="1" applyBorder="1" applyAlignment="1">
      <alignment horizontal="center" vertical="center"/>
    </xf>
    <xf numFmtId="9" fontId="1" fillId="8" borderId="49" xfId="5" applyFont="1" applyFill="1" applyBorder="1" applyAlignment="1">
      <alignment horizontal="center" vertical="center"/>
    </xf>
    <xf numFmtId="165" fontId="1" fillId="8" borderId="84" xfId="5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9" fontId="1" fillId="9" borderId="37" xfId="5" applyFont="1" applyFill="1" applyBorder="1"/>
    <xf numFmtId="9" fontId="1" fillId="9" borderId="85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28" xfId="0" applyFont="1" applyBorder="1"/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3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left"/>
    </xf>
    <xf numFmtId="0" fontId="1" fillId="8" borderId="27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3" fillId="9" borderId="0" xfId="0" applyFont="1" applyFill="1"/>
    <xf numFmtId="0" fontId="1" fillId="9" borderId="0" xfId="0" applyFont="1" applyFill="1" applyAlignment="1">
      <alignment wrapText="1"/>
    </xf>
    <xf numFmtId="0" fontId="17" fillId="0" borderId="0" xfId="0" applyFont="1" applyAlignment="1">
      <alignment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right" vertical="center" wrapText="1"/>
    </xf>
    <xf numFmtId="0" fontId="12" fillId="7" borderId="4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1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15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wrapText="1"/>
    </xf>
    <xf numFmtId="0" fontId="11" fillId="4" borderId="13" xfId="0" applyFont="1" applyFill="1" applyBorder="1" applyAlignment="1">
      <alignment wrapText="1"/>
    </xf>
    <xf numFmtId="0" fontId="11" fillId="7" borderId="4" xfId="0" applyFont="1" applyFill="1" applyBorder="1" applyAlignment="1">
      <alignment wrapText="1"/>
    </xf>
    <xf numFmtId="0" fontId="11" fillId="7" borderId="14" xfId="0" applyFont="1" applyFill="1" applyBorder="1" applyAlignment="1">
      <alignment wrapText="1"/>
    </xf>
    <xf numFmtId="0" fontId="11" fillId="4" borderId="4" xfId="0" applyFont="1" applyFill="1" applyBorder="1" applyAlignment="1">
      <alignment wrapText="1"/>
    </xf>
    <xf numFmtId="0" fontId="11" fillId="4" borderId="14" xfId="0" applyFont="1" applyFill="1" applyBorder="1" applyAlignment="1">
      <alignment wrapText="1"/>
    </xf>
    <xf numFmtId="0" fontId="30" fillId="0" borderId="10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47" fillId="0" borderId="34" xfId="0" applyFont="1" applyBorder="1" applyAlignment="1" applyProtection="1">
      <alignment horizontal="center" vertical="center" wrapText="1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 wrapText="1"/>
      <protection locked="0"/>
    </xf>
    <xf numFmtId="0" fontId="47" fillId="0" borderId="27" xfId="0" applyFont="1" applyBorder="1" applyAlignment="1" applyProtection="1">
      <alignment horizontal="center" wrapText="1"/>
      <protection locked="0"/>
    </xf>
    <xf numFmtId="0" fontId="47" fillId="0" borderId="47" xfId="0" applyFont="1" applyBorder="1" applyAlignment="1" applyProtection="1">
      <alignment horizontal="center" wrapText="1"/>
      <protection locked="0"/>
    </xf>
    <xf numFmtId="0" fontId="49" fillId="0" borderId="27" xfId="0" applyFont="1" applyBorder="1" applyAlignment="1" applyProtection="1">
      <alignment horizontal="left" vertical="center" wrapText="1"/>
      <protection locked="0"/>
    </xf>
    <xf numFmtId="0" fontId="47" fillId="0" borderId="47" xfId="0" applyFont="1" applyBorder="1" applyAlignment="1" applyProtection="1">
      <alignment horizontal="center" vertical="center" wrapText="1"/>
      <protection locked="0"/>
    </xf>
    <xf numFmtId="0" fontId="49" fillId="0" borderId="27" xfId="0" applyFont="1" applyBorder="1" applyAlignment="1" applyProtection="1">
      <alignment horizontal="center" vertical="center" wrapText="1"/>
      <protection locked="0"/>
    </xf>
    <xf numFmtId="0" fontId="48" fillId="0" borderId="20" xfId="0" applyFont="1" applyBorder="1" applyAlignment="1" applyProtection="1">
      <alignment horizontal="center" vertical="center"/>
      <protection locked="0"/>
    </xf>
    <xf numFmtId="0" fontId="47" fillId="0" borderId="122" xfId="0" applyFont="1" applyBorder="1" applyAlignment="1" applyProtection="1">
      <alignment horizontal="center" wrapText="1"/>
      <protection locked="0"/>
    </xf>
    <xf numFmtId="0" fontId="47" fillId="0" borderId="122" xfId="0" applyFont="1" applyBorder="1" applyAlignment="1" applyProtection="1">
      <alignment horizontal="center" vertical="center" wrapText="1"/>
      <protection locked="0"/>
    </xf>
    <xf numFmtId="0" fontId="47" fillId="0" borderId="122" xfId="0" applyFont="1" applyBorder="1" applyAlignment="1" applyProtection="1">
      <alignment horizontal="center" vertical="top" wrapText="1"/>
      <protection locked="0"/>
    </xf>
    <xf numFmtId="0" fontId="49" fillId="0" borderId="122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>
      <alignment horizontal="center" vertical="center" wrapText="1"/>
    </xf>
    <xf numFmtId="3" fontId="33" fillId="7" borderId="14" xfId="0" applyNumberFormat="1" applyFont="1" applyFill="1" applyBorder="1" applyAlignment="1">
      <alignment horizontal="center" vertical="center"/>
    </xf>
    <xf numFmtId="3" fontId="5" fillId="0" borderId="25" xfId="3" applyNumberFormat="1" applyFont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27" fillId="7" borderId="58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0" fontId="34" fillId="6" borderId="123" xfId="0" applyFont="1" applyFill="1" applyBorder="1" applyAlignment="1">
      <alignment horizontal="center" vertical="center" wrapText="1"/>
    </xf>
    <xf numFmtId="0" fontId="30" fillId="0" borderId="124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3" fontId="1" fillId="0" borderId="4" xfId="1" applyNumberFormat="1" applyFont="1" applyFill="1" applyBorder="1" applyAlignment="1">
      <alignment horizontal="center" vertical="center"/>
    </xf>
    <xf numFmtId="3" fontId="1" fillId="0" borderId="6" xfId="1" applyNumberFormat="1" applyFont="1" applyFill="1" applyBorder="1" applyAlignment="1">
      <alignment horizontal="center" vertical="center"/>
    </xf>
    <xf numFmtId="3" fontId="1" fillId="0" borderId="51" xfId="1" applyNumberFormat="1" applyFont="1" applyFill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3" fontId="9" fillId="0" borderId="20" xfId="0" applyNumberFormat="1" applyFont="1" applyBorder="1"/>
    <xf numFmtId="3" fontId="9" fillId="0" borderId="13" xfId="0" applyNumberFormat="1" applyFont="1" applyBorder="1"/>
    <xf numFmtId="3" fontId="9" fillId="0" borderId="16" xfId="0" applyNumberFormat="1" applyFont="1" applyBorder="1"/>
    <xf numFmtId="3" fontId="9" fillId="0" borderId="12" xfId="0" applyNumberFormat="1" applyFont="1" applyBorder="1"/>
    <xf numFmtId="3" fontId="1" fillId="0" borderId="20" xfId="0" applyNumberFormat="1" applyFont="1" applyBorder="1"/>
    <xf numFmtId="0" fontId="30" fillId="0" borderId="30" xfId="0" applyFont="1" applyBorder="1" applyAlignment="1">
      <alignment horizontal="center" vertical="center" wrapText="1"/>
    </xf>
    <xf numFmtId="3" fontId="26" fillId="7" borderId="21" xfId="0" applyNumberFormat="1" applyFont="1" applyFill="1" applyBorder="1" applyAlignment="1">
      <alignment horizontal="center" vertical="center"/>
    </xf>
    <xf numFmtId="3" fontId="26" fillId="7" borderId="12" xfId="0" applyNumberFormat="1" applyFont="1" applyFill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7" xfId="0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horizontal="center" vertical="center"/>
    </xf>
    <xf numFmtId="0" fontId="40" fillId="7" borderId="29" xfId="0" applyFont="1" applyFill="1" applyBorder="1" applyAlignment="1">
      <alignment horizontal="center" vertical="center"/>
    </xf>
    <xf numFmtId="3" fontId="35" fillId="7" borderId="62" xfId="0" applyNumberFormat="1" applyFont="1" applyFill="1" applyBorder="1" applyAlignment="1">
      <alignment horizontal="center"/>
    </xf>
    <xf numFmtId="0" fontId="35" fillId="9" borderId="64" xfId="0" applyFont="1" applyFill="1" applyBorder="1" applyAlignment="1">
      <alignment horizontal="center"/>
    </xf>
    <xf numFmtId="3" fontId="35" fillId="7" borderId="57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wrapText="1"/>
    </xf>
    <xf numFmtId="3" fontId="11" fillId="0" borderId="26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3" fontId="11" fillId="0" borderId="64" xfId="0" applyNumberFormat="1" applyFont="1" applyBorder="1" applyAlignment="1">
      <alignment horizontal="center" vertical="center"/>
    </xf>
    <xf numFmtId="3" fontId="11" fillId="0" borderId="57" xfId="0" applyNumberFormat="1" applyFont="1" applyBorder="1" applyAlignment="1">
      <alignment horizontal="center" vertical="center"/>
    </xf>
    <xf numFmtId="3" fontId="11" fillId="0" borderId="56" xfId="0" applyNumberFormat="1" applyFont="1" applyBorder="1" applyAlignment="1">
      <alignment horizontal="center" vertical="center"/>
    </xf>
    <xf numFmtId="3" fontId="11" fillId="2" borderId="64" xfId="0" applyNumberFormat="1" applyFont="1" applyFill="1" applyBorder="1" applyAlignment="1">
      <alignment horizontal="center" vertical="center"/>
    </xf>
    <xf numFmtId="3" fontId="11" fillId="2" borderId="57" xfId="0" applyNumberFormat="1" applyFont="1" applyFill="1" applyBorder="1" applyAlignment="1">
      <alignment horizontal="center" vertical="center"/>
    </xf>
    <xf numFmtId="3" fontId="11" fillId="2" borderId="56" xfId="0" applyNumberFormat="1" applyFont="1" applyFill="1" applyBorder="1" applyAlignment="1">
      <alignment horizontal="center" vertical="center"/>
    </xf>
    <xf numFmtId="0" fontId="12" fillId="7" borderId="126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62" xfId="0" applyFont="1" applyFill="1" applyBorder="1" applyAlignment="1">
      <alignment horizontal="center" vertical="center"/>
    </xf>
    <xf numFmtId="0" fontId="12" fillId="7" borderId="115" xfId="0" applyFont="1" applyFill="1" applyBorder="1" applyAlignment="1">
      <alignment horizontal="center" vertical="center"/>
    </xf>
    <xf numFmtId="3" fontId="11" fillId="0" borderId="5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27" fillId="7" borderId="60" xfId="0" applyFont="1" applyFill="1" applyBorder="1" applyAlignment="1">
      <alignment horizontal="center" vertical="center"/>
    </xf>
    <xf numFmtId="3" fontId="11" fillId="0" borderId="40" xfId="0" applyNumberFormat="1" applyFont="1" applyBorder="1" applyAlignment="1">
      <alignment horizontal="center" vertical="center"/>
    </xf>
    <xf numFmtId="3" fontId="11" fillId="0" borderId="62" xfId="0" applyNumberFormat="1" applyFont="1" applyBorder="1" applyAlignment="1">
      <alignment horizontal="center" vertical="center"/>
    </xf>
    <xf numFmtId="3" fontId="11" fillId="0" borderId="55" xfId="0" applyNumberFormat="1" applyFont="1" applyBorder="1" applyAlignment="1">
      <alignment horizontal="center" vertical="center"/>
    </xf>
    <xf numFmtId="3" fontId="11" fillId="0" borderId="59" xfId="0" applyNumberFormat="1" applyFont="1" applyBorder="1" applyAlignment="1">
      <alignment horizontal="center" vertical="center"/>
    </xf>
    <xf numFmtId="3" fontId="1" fillId="0" borderId="62" xfId="1" applyNumberFormat="1" applyFont="1" applyFill="1" applyBorder="1" applyAlignment="1">
      <alignment horizontal="center" vertical="center"/>
    </xf>
    <xf numFmtId="3" fontId="1" fillId="0" borderId="63" xfId="1" applyNumberFormat="1" applyFont="1" applyFill="1" applyBorder="1" applyAlignment="1">
      <alignment horizontal="center" vertical="center"/>
    </xf>
    <xf numFmtId="3" fontId="1" fillId="0" borderId="60" xfId="1" applyNumberFormat="1" applyFont="1" applyFill="1" applyBorder="1" applyAlignment="1">
      <alignment horizontal="center" vertical="center"/>
    </xf>
    <xf numFmtId="3" fontId="1" fillId="0" borderId="11" xfId="1" applyNumberFormat="1" applyFont="1" applyFill="1" applyBorder="1" applyAlignment="1">
      <alignment horizontal="center" vertical="center"/>
    </xf>
    <xf numFmtId="3" fontId="1" fillId="0" borderId="5" xfId="1" applyNumberFormat="1" applyFont="1" applyFill="1" applyBorder="1" applyAlignment="1">
      <alignment horizontal="center" vertical="center"/>
    </xf>
    <xf numFmtId="3" fontId="1" fillId="0" borderId="21" xfId="1" applyNumberFormat="1" applyFont="1" applyFill="1" applyBorder="1" applyAlignment="1">
      <alignment horizontal="center" vertical="center"/>
    </xf>
    <xf numFmtId="9" fontId="30" fillId="0" borderId="4" xfId="0" applyNumberFormat="1" applyFont="1" applyBorder="1" applyAlignment="1">
      <alignment horizontal="center" vertical="center"/>
    </xf>
    <xf numFmtId="3" fontId="26" fillId="0" borderId="68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3" fontId="9" fillId="0" borderId="7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8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wrapText="1"/>
    </xf>
    <xf numFmtId="0" fontId="11" fillId="7" borderId="3" xfId="0" applyFont="1" applyFill="1" applyBorder="1" applyAlignment="1">
      <alignment wrapText="1"/>
    </xf>
    <xf numFmtId="0" fontId="11" fillId="7" borderId="78" xfId="0" applyFont="1" applyFill="1" applyBorder="1" applyAlignment="1">
      <alignment wrapText="1"/>
    </xf>
    <xf numFmtId="0" fontId="11" fillId="7" borderId="40" xfId="0" applyFont="1" applyFill="1" applyBorder="1" applyAlignment="1">
      <alignment wrapText="1"/>
    </xf>
    <xf numFmtId="0" fontId="35" fillId="9" borderId="0" xfId="0" applyFont="1" applyFill="1" applyAlignment="1">
      <alignment horizontal="center" vertical="center" wrapText="1"/>
    </xf>
    <xf numFmtId="0" fontId="34" fillId="6" borderId="116" xfId="0" applyFont="1" applyFill="1" applyBorder="1" applyAlignment="1">
      <alignment horizontal="center" vertical="center" wrapText="1"/>
    </xf>
    <xf numFmtId="0" fontId="34" fillId="6" borderId="121" xfId="0" applyFont="1" applyFill="1" applyBorder="1" applyAlignment="1">
      <alignment horizontal="center" vertical="center" wrapText="1"/>
    </xf>
    <xf numFmtId="0" fontId="34" fillId="6" borderId="117" xfId="0" applyFont="1" applyFill="1" applyBorder="1" applyAlignment="1">
      <alignment horizontal="center" vertical="center" wrapText="1"/>
    </xf>
    <xf numFmtId="0" fontId="34" fillId="6" borderId="108" xfId="0" applyFont="1" applyFill="1" applyBorder="1" applyAlignment="1">
      <alignment horizontal="center" vertical="center" wrapText="1"/>
    </xf>
    <xf numFmtId="0" fontId="34" fillId="6" borderId="93" xfId="0" applyFont="1" applyFill="1" applyBorder="1" applyAlignment="1">
      <alignment horizontal="center" vertical="center" wrapText="1"/>
    </xf>
    <xf numFmtId="0" fontId="34" fillId="6" borderId="125" xfId="0" applyFont="1" applyFill="1" applyBorder="1" applyAlignment="1">
      <alignment horizontal="center" vertical="center" wrapText="1"/>
    </xf>
    <xf numFmtId="0" fontId="34" fillId="6" borderId="118" xfId="0" applyFont="1" applyFill="1" applyBorder="1" applyAlignment="1">
      <alignment horizontal="center" vertical="center" wrapText="1"/>
    </xf>
    <xf numFmtId="0" fontId="34" fillId="6" borderId="119" xfId="0" applyFont="1" applyFill="1" applyBorder="1" applyAlignment="1">
      <alignment horizontal="center" vertical="center" wrapText="1"/>
    </xf>
    <xf numFmtId="0" fontId="34" fillId="6" borderId="120" xfId="0" applyFont="1" applyFill="1" applyBorder="1" applyAlignment="1">
      <alignment horizontal="center" vertical="center" wrapText="1"/>
    </xf>
    <xf numFmtId="0" fontId="34" fillId="6" borderId="107" xfId="0" applyFont="1" applyFill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  <protection hidden="1"/>
    </xf>
    <xf numFmtId="0" fontId="42" fillId="9" borderId="0" xfId="0" applyFont="1" applyFill="1" applyAlignment="1" applyProtection="1">
      <alignment horizontal="center" vertical="center"/>
      <protection locked="0"/>
    </xf>
    <xf numFmtId="0" fontId="34" fillId="7" borderId="109" xfId="0" applyFont="1" applyFill="1" applyBorder="1" applyAlignment="1" applyProtection="1">
      <alignment horizontal="center" vertical="center" wrapText="1"/>
      <protection locked="0"/>
    </xf>
    <xf numFmtId="0" fontId="34" fillId="7" borderId="1" xfId="0" applyFont="1" applyFill="1" applyBorder="1" applyAlignment="1" applyProtection="1">
      <alignment horizontal="center" vertical="center" wrapText="1"/>
      <protection locked="0"/>
    </xf>
    <xf numFmtId="0" fontId="34" fillId="7" borderId="110" xfId="0" applyFont="1" applyFill="1" applyBorder="1" applyAlignment="1" applyProtection="1">
      <alignment horizontal="center" vertical="center" wrapText="1"/>
      <protection locked="0"/>
    </xf>
    <xf numFmtId="0" fontId="34" fillId="7" borderId="111" xfId="0" applyFont="1" applyFill="1" applyBorder="1" applyAlignment="1" applyProtection="1">
      <alignment horizontal="center" vertical="center" wrapText="1"/>
      <protection locked="0"/>
    </xf>
    <xf numFmtId="0" fontId="34" fillId="7" borderId="112" xfId="0" applyFont="1" applyFill="1" applyBorder="1" applyAlignment="1" applyProtection="1">
      <alignment horizontal="center" vertical="center" wrapText="1"/>
      <protection locked="0"/>
    </xf>
    <xf numFmtId="0" fontId="34" fillId="7" borderId="113" xfId="0" applyFont="1" applyFill="1" applyBorder="1" applyAlignment="1" applyProtection="1">
      <alignment horizontal="center" vertical="center" wrapText="1"/>
      <protection locked="0"/>
    </xf>
    <xf numFmtId="0" fontId="34" fillId="7" borderId="114" xfId="0" applyFont="1" applyFill="1" applyBorder="1" applyAlignment="1" applyProtection="1">
      <alignment horizontal="center" vertical="center" wrapText="1"/>
      <protection locked="0"/>
    </xf>
    <xf numFmtId="0" fontId="34" fillId="7" borderId="106" xfId="0" applyFont="1" applyFill="1" applyBorder="1" applyAlignment="1" applyProtection="1">
      <alignment horizontal="center" vertical="center" wrapText="1"/>
      <protection locked="0"/>
    </xf>
    <xf numFmtId="0" fontId="34" fillId="7" borderId="105" xfId="0" applyFont="1" applyFill="1" applyBorder="1" applyAlignment="1" applyProtection="1">
      <alignment horizontal="center" vertical="center" wrapText="1"/>
      <protection locked="0"/>
    </xf>
    <xf numFmtId="0" fontId="1" fillId="8" borderId="90" xfId="0" applyFont="1" applyFill="1" applyBorder="1" applyAlignment="1">
      <alignment horizontal="right"/>
    </xf>
    <xf numFmtId="0" fontId="1" fillId="8" borderId="79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91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87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2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8" borderId="88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0" borderId="93" xfId="0" applyFont="1" applyBorder="1" applyAlignment="1">
      <alignment horizontal="left" vertical="center"/>
    </xf>
    <xf numFmtId="0" fontId="1" fillId="9" borderId="0" xfId="0" applyFont="1" applyFill="1" applyAlignment="1">
      <alignment horizontal="left" wrapText="1"/>
    </xf>
    <xf numFmtId="0" fontId="13" fillId="7" borderId="76" xfId="0" applyFont="1" applyFill="1" applyBorder="1" applyAlignment="1">
      <alignment horizontal="center" vertical="center" wrapText="1"/>
    </xf>
    <xf numFmtId="0" fontId="13" fillId="7" borderId="94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7" borderId="76" xfId="0" applyFont="1" applyFill="1" applyBorder="1" applyAlignment="1">
      <alignment horizontal="center" vertical="center" wrapText="1"/>
    </xf>
    <xf numFmtId="0" fontId="12" fillId="7" borderId="94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right"/>
    </xf>
    <xf numFmtId="3" fontId="11" fillId="7" borderId="5" xfId="0" applyNumberFormat="1" applyFont="1" applyFill="1" applyBorder="1" applyAlignment="1">
      <alignment horizontal="right"/>
    </xf>
    <xf numFmtId="3" fontId="11" fillId="7" borderId="43" xfId="0" applyNumberFormat="1" applyFont="1" applyFill="1" applyBorder="1" applyAlignment="1">
      <alignment horizontal="right"/>
    </xf>
    <xf numFmtId="3" fontId="11" fillId="7" borderId="21" xfId="0" applyNumberFormat="1" applyFont="1" applyFill="1" applyBorder="1" applyAlignment="1">
      <alignment horizontal="right"/>
    </xf>
    <xf numFmtId="0" fontId="11" fillId="7" borderId="6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3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2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5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1" xfId="0" applyFont="1" applyFill="1" applyBorder="1" applyAlignment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89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7" borderId="83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3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1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8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3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3" borderId="93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1" fillId="7" borderId="91" xfId="0" applyFont="1" applyFill="1" applyBorder="1" applyAlignment="1">
      <alignment horizontal="center" vertical="center" wrapText="1"/>
    </xf>
    <xf numFmtId="0" fontId="21" fillId="7" borderId="87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7" borderId="88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2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0" fillId="7" borderId="49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6" fillId="7" borderId="44" xfId="0" applyFont="1" applyFill="1" applyBorder="1" applyAlignment="1">
      <alignment horizontal="center" vertical="center" wrapText="1"/>
    </xf>
    <xf numFmtId="0" fontId="36" fillId="7" borderId="52" xfId="0" applyFont="1" applyFill="1" applyBorder="1" applyAlignment="1">
      <alignment horizontal="center" vertical="center" wrapText="1"/>
    </xf>
    <xf numFmtId="0" fontId="36" fillId="7" borderId="66" xfId="0" applyFont="1" applyFill="1" applyBorder="1" applyAlignment="1">
      <alignment horizontal="center" vertical="center" wrapText="1"/>
    </xf>
    <xf numFmtId="0" fontId="36" fillId="7" borderId="68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7" fillId="7" borderId="48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0" fillId="7" borderId="76" xfId="0" applyFont="1" applyFill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69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6" fillId="7" borderId="5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38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1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right"/>
    </xf>
    <xf numFmtId="0" fontId="37" fillId="7" borderId="63" xfId="0" applyFont="1" applyFill="1" applyBorder="1" applyAlignment="1">
      <alignment horizontal="right"/>
    </xf>
    <xf numFmtId="0" fontId="37" fillId="7" borderId="59" xfId="0" applyFont="1" applyFill="1" applyBorder="1" applyAlignment="1">
      <alignment horizontal="right"/>
    </xf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7" borderId="83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89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96" xfId="0" applyFont="1" applyFill="1" applyBorder="1" applyAlignment="1">
      <alignment horizontal="center" wrapText="1" shrinkToFit="1"/>
    </xf>
    <xf numFmtId="0" fontId="37" fillId="7" borderId="97" xfId="0" applyFont="1" applyFill="1" applyBorder="1" applyAlignment="1">
      <alignment horizontal="center" wrapText="1" shrinkToFit="1"/>
    </xf>
    <xf numFmtId="0" fontId="37" fillId="7" borderId="83" xfId="0" applyFont="1" applyFill="1" applyBorder="1" applyAlignment="1">
      <alignment horizontal="center" vertical="center" wrapText="1" shrinkToFit="1"/>
    </xf>
    <xf numFmtId="0" fontId="37" fillId="7" borderId="39" xfId="0" applyFont="1" applyFill="1" applyBorder="1" applyAlignment="1">
      <alignment horizontal="center" vertical="center" wrapText="1" shrinkToFit="1"/>
    </xf>
    <xf numFmtId="0" fontId="37" fillId="7" borderId="76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8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26" fillId="0" borderId="98" xfId="0" applyNumberFormat="1" applyFont="1" applyBorder="1" applyAlignment="1" applyProtection="1">
      <alignment horizontal="center" vertical="center"/>
      <protection locked="0"/>
    </xf>
    <xf numFmtId="3" fontId="26" fillId="0" borderId="68" xfId="0" applyNumberFormat="1" applyFont="1" applyBorder="1" applyAlignment="1" applyProtection="1">
      <alignment horizontal="center" vertical="center"/>
      <protection locked="0"/>
    </xf>
    <xf numFmtId="3" fontId="26" fillId="0" borderId="8" xfId="0" applyNumberFormat="1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3" fontId="26" fillId="0" borderId="65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0" fontId="25" fillId="7" borderId="62" xfId="0" applyFont="1" applyFill="1" applyBorder="1" applyAlignment="1">
      <alignment horizontal="center" vertical="center"/>
    </xf>
    <xf numFmtId="0" fontId="25" fillId="7" borderId="63" xfId="0" applyFont="1" applyFill="1" applyBorder="1" applyAlignment="1">
      <alignment horizontal="center" vertical="center"/>
    </xf>
    <xf numFmtId="0" fontId="25" fillId="7" borderId="50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70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89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3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" fillId="0" borderId="23" xfId="0" applyFont="1" applyFill="1" applyBorder="1"/>
    <xf numFmtId="0" fontId="1" fillId="0" borderId="27" xfId="0" applyFont="1" applyFill="1" applyBorder="1"/>
    <xf numFmtId="0" fontId="1" fillId="0" borderId="30" xfId="0" applyFont="1" applyFill="1" applyBorder="1"/>
    <xf numFmtId="3" fontId="9" fillId="0" borderId="4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65" xfId="0" applyNumberFormat="1" applyFont="1" applyFill="1" applyBorder="1" applyAlignment="1">
      <alignment horizontal="center" vertical="center" wrapText="1"/>
    </xf>
    <xf numFmtId="3" fontId="9" fillId="0" borderId="89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3" fontId="11" fillId="0" borderId="43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23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77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3" fontId="5" fillId="0" borderId="39" xfId="3" applyNumberFormat="1" applyFont="1" applyFill="1" applyBorder="1" applyAlignment="1">
      <alignment horizontal="center" vertical="center"/>
    </xf>
    <xf numFmtId="3" fontId="5" fillId="0" borderId="5" xfId="3" applyNumberFormat="1" applyFont="1" applyFill="1" applyBorder="1" applyAlignment="1">
      <alignment horizontal="center" vertical="center"/>
    </xf>
    <xf numFmtId="3" fontId="5" fillId="0" borderId="12" xfId="3" applyNumberFormat="1" applyFont="1" applyFill="1" applyBorder="1" applyAlignment="1">
      <alignment horizontal="center" vertical="center"/>
    </xf>
    <xf numFmtId="49" fontId="1" fillId="0" borderId="10" xfId="3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49" fontId="1" fillId="0" borderId="44" xfId="3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43" xfId="0" applyNumberFormat="1" applyFont="1" applyFill="1" applyBorder="1" applyAlignment="1">
      <alignment horizontal="center" vertical="center"/>
    </xf>
    <xf numFmtId="49" fontId="1" fillId="0" borderId="62" xfId="3" applyNumberFormat="1" applyFont="1" applyFill="1" applyBorder="1" applyAlignment="1">
      <alignment horizontal="center" vertical="center"/>
    </xf>
    <xf numFmtId="0" fontId="13" fillId="0" borderId="63" xfId="3" applyFont="1" applyFill="1" applyBorder="1" applyAlignment="1">
      <alignment horizontal="right" wrapText="1"/>
    </xf>
    <xf numFmtId="3" fontId="1" fillId="0" borderId="70" xfId="0" applyNumberFormat="1" applyFont="1" applyFill="1" applyBorder="1" applyAlignment="1">
      <alignment horizontal="center" vertical="center"/>
    </xf>
    <xf numFmtId="3" fontId="1" fillId="0" borderId="56" xfId="0" applyNumberFormat="1" applyFont="1" applyFill="1" applyBorder="1" applyAlignment="1">
      <alignment horizontal="center" vertical="center"/>
    </xf>
    <xf numFmtId="49" fontId="15" fillId="0" borderId="95" xfId="3" applyNumberFormat="1" applyFont="1" applyFill="1" applyBorder="1" applyAlignment="1">
      <alignment vertical="center"/>
    </xf>
    <xf numFmtId="49" fontId="15" fillId="0" borderId="0" xfId="3" applyNumberFormat="1" applyFont="1" applyFill="1" applyAlignment="1">
      <alignment horizontal="left" vertical="center"/>
    </xf>
    <xf numFmtId="49" fontId="15" fillId="0" borderId="2" xfId="3" applyNumberFormat="1" applyFont="1" applyFill="1" applyBorder="1" applyAlignment="1">
      <alignment horizontal="left" vertical="center"/>
    </xf>
    <xf numFmtId="49" fontId="1" fillId="0" borderId="48" xfId="3" applyNumberFormat="1" applyFont="1" applyFill="1" applyBorder="1" applyAlignment="1">
      <alignment horizontal="center" vertical="center"/>
    </xf>
    <xf numFmtId="0" fontId="1" fillId="0" borderId="51" xfId="3" applyFont="1" applyFill="1" applyBorder="1" applyAlignment="1">
      <alignment vertical="center" wrapText="1"/>
    </xf>
    <xf numFmtId="3" fontId="1" fillId="0" borderId="51" xfId="0" applyNumberFormat="1" applyFont="1" applyFill="1" applyBorder="1" applyAlignment="1">
      <alignment horizontal="center" vertical="center"/>
    </xf>
    <xf numFmtId="3" fontId="1" fillId="0" borderId="32" xfId="0" applyNumberFormat="1" applyFont="1" applyFill="1" applyBorder="1" applyAlignment="1">
      <alignment horizontal="center" vertical="center"/>
    </xf>
    <xf numFmtId="0" fontId="1" fillId="0" borderId="4" xfId="3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6" xfId="3" applyFont="1" applyFill="1" applyBorder="1" applyAlignment="1">
      <alignment horizontal="left" vertical="center" wrapText="1"/>
    </xf>
    <xf numFmtId="0" fontId="13" fillId="0" borderId="59" xfId="3" applyFont="1" applyFill="1" applyBorder="1" applyAlignment="1">
      <alignment horizontal="right" wrapText="1"/>
    </xf>
    <xf numFmtId="49" fontId="1" fillId="0" borderId="91" xfId="3" applyNumberFormat="1" applyFont="1" applyFill="1" applyBorder="1" applyAlignment="1">
      <alignment horizontal="center" vertical="center"/>
    </xf>
    <xf numFmtId="0" fontId="13" fillId="0" borderId="94" xfId="3" applyFont="1" applyFill="1" applyBorder="1"/>
    <xf numFmtId="0" fontId="1" fillId="0" borderId="41" xfId="0" applyFont="1" applyFill="1" applyBorder="1"/>
    <xf numFmtId="0" fontId="1" fillId="0" borderId="54" xfId="0" applyFont="1" applyFill="1" applyBorder="1"/>
    <xf numFmtId="0" fontId="1" fillId="0" borderId="4" xfId="3" applyFont="1" applyFill="1" applyBorder="1" applyAlignment="1">
      <alignment horizontal="left" vertical="center" wrapText="1"/>
    </xf>
    <xf numFmtId="49" fontId="1" fillId="0" borderId="115" xfId="3" applyNumberFormat="1" applyFont="1" applyFill="1" applyBorder="1" applyAlignment="1">
      <alignment horizontal="center" vertical="center"/>
    </xf>
    <xf numFmtId="0" fontId="1" fillId="0" borderId="6" xfId="3" applyFont="1" applyFill="1" applyBorder="1" applyAlignment="1">
      <alignment vertical="center" wrapText="1"/>
    </xf>
    <xf numFmtId="49" fontId="1" fillId="0" borderId="88" xfId="3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49" fontId="1" fillId="0" borderId="60" xfId="3" applyNumberFormat="1" applyFont="1" applyFill="1" applyBorder="1" applyAlignment="1">
      <alignment horizontal="center" vertical="center"/>
    </xf>
    <xf numFmtId="0" fontId="13" fillId="0" borderId="0" xfId="3" applyFont="1" applyFill="1" applyAlignment="1">
      <alignment horizontal="right" wrapText="1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0" fontId="13" fillId="0" borderId="62" xfId="3" applyFont="1" applyFill="1" applyBorder="1" applyAlignment="1">
      <alignment horizontal="right" wrapText="1"/>
    </xf>
    <xf numFmtId="0" fontId="13" fillId="0" borderId="63" xfId="3" applyFont="1" applyFill="1" applyBorder="1" applyAlignment="1">
      <alignment horizontal="right" wrapText="1"/>
    </xf>
    <xf numFmtId="3" fontId="26" fillId="0" borderId="4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</cellXfs>
  <cellStyles count="6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A1:G142"/>
  <sheetViews>
    <sheetView showGridLines="0" topLeftCell="A76" zoomScaleNormal="100" workbookViewId="0">
      <selection activeCell="F40" sqref="F40:F41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1" t="s">
        <v>571</v>
      </c>
    </row>
    <row r="2" spans="1:7" ht="18" customHeight="1" x14ac:dyDescent="0.2">
      <c r="B2" s="669" t="s">
        <v>800</v>
      </c>
      <c r="C2" s="669"/>
      <c r="D2" s="669"/>
      <c r="E2" s="669"/>
      <c r="F2" s="669"/>
      <c r="G2" s="51"/>
    </row>
    <row r="3" spans="1:7" ht="16.5" customHeight="1" thickBot="1" x14ac:dyDescent="0.25">
      <c r="E3" s="7"/>
      <c r="F3" s="353" t="s">
        <v>198</v>
      </c>
    </row>
    <row r="4" spans="1:7" ht="48" customHeight="1" x14ac:dyDescent="0.2">
      <c r="B4" s="317" t="s">
        <v>257</v>
      </c>
      <c r="C4" s="318" t="s">
        <v>258</v>
      </c>
      <c r="D4" s="319" t="s">
        <v>40</v>
      </c>
      <c r="E4" s="319" t="s">
        <v>799</v>
      </c>
      <c r="F4" s="320" t="s">
        <v>808</v>
      </c>
    </row>
    <row r="5" spans="1:7" ht="12.75" customHeight="1" thickBot="1" x14ac:dyDescent="0.25">
      <c r="B5" s="29">
        <v>1</v>
      </c>
      <c r="C5" s="22">
        <v>2</v>
      </c>
      <c r="D5" s="21">
        <v>3</v>
      </c>
      <c r="E5" s="30">
        <v>4</v>
      </c>
      <c r="F5" s="31">
        <v>5</v>
      </c>
    </row>
    <row r="6" spans="1:7" ht="20.100000000000001" customHeight="1" x14ac:dyDescent="0.2">
      <c r="B6" s="321"/>
      <c r="C6" s="13" t="s">
        <v>92</v>
      </c>
      <c r="D6" s="12"/>
      <c r="E6" s="32"/>
      <c r="F6" s="33"/>
    </row>
    <row r="7" spans="1:7" ht="20.100000000000001" customHeight="1" x14ac:dyDescent="0.2">
      <c r="A7" s="40"/>
      <c r="B7" s="322" t="s">
        <v>769</v>
      </c>
      <c r="C7" s="13" t="s">
        <v>402</v>
      </c>
      <c r="D7" s="14" t="s">
        <v>282</v>
      </c>
      <c r="E7" s="34"/>
      <c r="F7" s="35"/>
    </row>
    <row r="8" spans="1:7" ht="20.100000000000001" customHeight="1" x14ac:dyDescent="0.2">
      <c r="A8" s="40"/>
      <c r="B8" s="670"/>
      <c r="C8" s="15" t="s">
        <v>403</v>
      </c>
      <c r="D8" s="668" t="s">
        <v>283</v>
      </c>
      <c r="E8" s="664">
        <f>SUM(E10,E17,E26,E27,E38)</f>
        <v>3004</v>
      </c>
      <c r="F8" s="666">
        <f>SUM(F10,F17,F26,F27,F38)</f>
        <v>3585</v>
      </c>
    </row>
    <row r="9" spans="1:7" ht="20.100000000000001" customHeight="1" x14ac:dyDescent="0.2">
      <c r="A9" s="40"/>
      <c r="B9" s="670"/>
      <c r="C9" s="16" t="s">
        <v>404</v>
      </c>
      <c r="D9" s="668"/>
      <c r="E9" s="665"/>
      <c r="F9" s="667"/>
    </row>
    <row r="10" spans="1:7" ht="20.100000000000001" customHeight="1" x14ac:dyDescent="0.2">
      <c r="A10" s="40"/>
      <c r="B10" s="670" t="s">
        <v>770</v>
      </c>
      <c r="C10" s="17" t="s">
        <v>405</v>
      </c>
      <c r="D10" s="668" t="s">
        <v>284</v>
      </c>
      <c r="E10" s="664">
        <f>SUM(E12:E16)</f>
        <v>4</v>
      </c>
      <c r="F10" s="666">
        <f>SUM(F12:F16)</f>
        <v>1</v>
      </c>
    </row>
    <row r="11" spans="1:7" ht="20.100000000000001" customHeight="1" x14ac:dyDescent="0.2">
      <c r="A11" s="40"/>
      <c r="B11" s="670"/>
      <c r="C11" s="18" t="s">
        <v>406</v>
      </c>
      <c r="D11" s="668"/>
      <c r="E11" s="665"/>
      <c r="F11" s="667"/>
    </row>
    <row r="12" spans="1:7" ht="20.100000000000001" customHeight="1" x14ac:dyDescent="0.2">
      <c r="A12" s="40"/>
      <c r="B12" s="322" t="s">
        <v>771</v>
      </c>
      <c r="C12" s="19" t="s">
        <v>136</v>
      </c>
      <c r="D12" s="14" t="s">
        <v>285</v>
      </c>
      <c r="E12" s="34"/>
      <c r="F12" s="35"/>
    </row>
    <row r="13" spans="1:7" ht="25.5" customHeight="1" x14ac:dyDescent="0.2">
      <c r="A13" s="40"/>
      <c r="B13" s="322" t="s">
        <v>407</v>
      </c>
      <c r="C13" s="19" t="s">
        <v>408</v>
      </c>
      <c r="D13" s="14" t="s">
        <v>286</v>
      </c>
      <c r="E13" s="34">
        <v>4</v>
      </c>
      <c r="F13" s="35">
        <v>1</v>
      </c>
    </row>
    <row r="14" spans="1:7" ht="20.100000000000001" customHeight="1" x14ac:dyDescent="0.2">
      <c r="A14" s="40"/>
      <c r="B14" s="322" t="s">
        <v>772</v>
      </c>
      <c r="C14" s="19" t="s">
        <v>409</v>
      </c>
      <c r="D14" s="14" t="s">
        <v>287</v>
      </c>
      <c r="E14" s="34"/>
      <c r="F14" s="35"/>
    </row>
    <row r="15" spans="1:7" ht="25.5" customHeight="1" x14ac:dyDescent="0.2">
      <c r="A15" s="40"/>
      <c r="B15" s="322" t="s">
        <v>410</v>
      </c>
      <c r="C15" s="19" t="s">
        <v>411</v>
      </c>
      <c r="D15" s="14" t="s">
        <v>288</v>
      </c>
      <c r="E15" s="34"/>
      <c r="F15" s="35"/>
    </row>
    <row r="16" spans="1:7" ht="20.100000000000001" customHeight="1" x14ac:dyDescent="0.2">
      <c r="A16" s="40"/>
      <c r="B16" s="322" t="s">
        <v>773</v>
      </c>
      <c r="C16" s="19" t="s">
        <v>412</v>
      </c>
      <c r="D16" s="14" t="s">
        <v>289</v>
      </c>
      <c r="E16" s="34"/>
      <c r="F16" s="35"/>
    </row>
    <row r="17" spans="1:6" ht="20.100000000000001" customHeight="1" x14ac:dyDescent="0.2">
      <c r="A17" s="40"/>
      <c r="B17" s="670" t="s">
        <v>774</v>
      </c>
      <c r="C17" s="17" t="s">
        <v>413</v>
      </c>
      <c r="D17" s="668" t="s">
        <v>290</v>
      </c>
      <c r="E17" s="664">
        <f>SUM(E19:E25)</f>
        <v>1500</v>
      </c>
      <c r="F17" s="666">
        <f>SUM(F19:F25)</f>
        <v>2088</v>
      </c>
    </row>
    <row r="18" spans="1:6" ht="20.100000000000001" customHeight="1" x14ac:dyDescent="0.2">
      <c r="A18" s="40"/>
      <c r="B18" s="670"/>
      <c r="C18" s="18" t="s">
        <v>414</v>
      </c>
      <c r="D18" s="668"/>
      <c r="E18" s="665"/>
      <c r="F18" s="667"/>
    </row>
    <row r="19" spans="1:6" ht="20.100000000000001" customHeight="1" x14ac:dyDescent="0.2">
      <c r="A19" s="40"/>
      <c r="B19" s="322" t="s">
        <v>415</v>
      </c>
      <c r="C19" s="19" t="s">
        <v>416</v>
      </c>
      <c r="D19" s="14" t="s">
        <v>291</v>
      </c>
      <c r="E19" s="34"/>
      <c r="F19" s="35"/>
    </row>
    <row r="20" spans="1:6" ht="20.100000000000001" customHeight="1" x14ac:dyDescent="0.2">
      <c r="B20" s="322" t="s">
        <v>775</v>
      </c>
      <c r="C20" s="19" t="s">
        <v>417</v>
      </c>
      <c r="D20" s="14" t="s">
        <v>292</v>
      </c>
      <c r="E20" s="34">
        <v>1500</v>
      </c>
      <c r="F20" s="35">
        <v>2088</v>
      </c>
    </row>
    <row r="21" spans="1:6" ht="20.100000000000001" customHeight="1" x14ac:dyDescent="0.2">
      <c r="B21" s="322" t="s">
        <v>776</v>
      </c>
      <c r="C21" s="19" t="s">
        <v>418</v>
      </c>
      <c r="D21" s="14" t="s">
        <v>293</v>
      </c>
      <c r="E21" s="34"/>
      <c r="F21" s="35"/>
    </row>
    <row r="22" spans="1:6" ht="25.5" customHeight="1" x14ac:dyDescent="0.2">
      <c r="B22" s="322" t="s">
        <v>419</v>
      </c>
      <c r="C22" s="19" t="s">
        <v>420</v>
      </c>
      <c r="D22" s="14" t="s">
        <v>294</v>
      </c>
      <c r="E22" s="34"/>
      <c r="F22" s="35"/>
    </row>
    <row r="23" spans="1:6" ht="25.5" customHeight="1" x14ac:dyDescent="0.2">
      <c r="B23" s="322" t="s">
        <v>421</v>
      </c>
      <c r="C23" s="19" t="s">
        <v>777</v>
      </c>
      <c r="D23" s="14" t="s">
        <v>295</v>
      </c>
      <c r="E23" s="34"/>
      <c r="F23" s="35"/>
    </row>
    <row r="24" spans="1:6" ht="25.5" customHeight="1" x14ac:dyDescent="0.2">
      <c r="B24" s="322" t="s">
        <v>422</v>
      </c>
      <c r="C24" s="19" t="s">
        <v>423</v>
      </c>
      <c r="D24" s="14" t="s">
        <v>296</v>
      </c>
      <c r="E24" s="34"/>
      <c r="F24" s="35"/>
    </row>
    <row r="25" spans="1:6" ht="25.5" customHeight="1" x14ac:dyDescent="0.2">
      <c r="B25" s="322" t="s">
        <v>422</v>
      </c>
      <c r="C25" s="19" t="s">
        <v>424</v>
      </c>
      <c r="D25" s="14" t="s">
        <v>297</v>
      </c>
      <c r="E25" s="34"/>
      <c r="F25" s="35"/>
    </row>
    <row r="26" spans="1:6" ht="20.100000000000001" customHeight="1" x14ac:dyDescent="0.2">
      <c r="A26" s="40"/>
      <c r="B26" s="322" t="s">
        <v>778</v>
      </c>
      <c r="C26" s="19" t="s">
        <v>425</v>
      </c>
      <c r="D26" s="14" t="s">
        <v>298</v>
      </c>
      <c r="E26" s="34"/>
      <c r="F26" s="35"/>
    </row>
    <row r="27" spans="1:6" ht="25.5" customHeight="1" x14ac:dyDescent="0.2">
      <c r="A27" s="40"/>
      <c r="B27" s="670" t="s">
        <v>426</v>
      </c>
      <c r="C27" s="17" t="s">
        <v>427</v>
      </c>
      <c r="D27" s="668" t="s">
        <v>299</v>
      </c>
      <c r="E27" s="664">
        <f>SUM(E29:E37)</f>
        <v>1500</v>
      </c>
      <c r="F27" s="666">
        <f>SUM(F29:F37)</f>
        <v>1496</v>
      </c>
    </row>
    <row r="28" spans="1:6" ht="22.5" customHeight="1" x14ac:dyDescent="0.2">
      <c r="A28" s="40"/>
      <c r="B28" s="670"/>
      <c r="C28" s="18" t="s">
        <v>428</v>
      </c>
      <c r="D28" s="668"/>
      <c r="E28" s="665"/>
      <c r="F28" s="667"/>
    </row>
    <row r="29" spans="1:6" ht="25.5" customHeight="1" x14ac:dyDescent="0.2">
      <c r="A29" s="40"/>
      <c r="B29" s="322" t="s">
        <v>429</v>
      </c>
      <c r="C29" s="19" t="s">
        <v>761</v>
      </c>
      <c r="D29" s="14" t="s">
        <v>300</v>
      </c>
      <c r="E29" s="34">
        <v>1500</v>
      </c>
      <c r="F29" s="35">
        <v>1496</v>
      </c>
    </row>
    <row r="30" spans="1:6" ht="25.5" customHeight="1" x14ac:dyDescent="0.2">
      <c r="B30" s="322" t="s">
        <v>430</v>
      </c>
      <c r="C30" s="19" t="s">
        <v>431</v>
      </c>
      <c r="D30" s="14" t="s">
        <v>301</v>
      </c>
      <c r="E30" s="34"/>
      <c r="F30" s="35"/>
    </row>
    <row r="31" spans="1:6" ht="35.25" customHeight="1" x14ac:dyDescent="0.2">
      <c r="B31" s="322" t="s">
        <v>432</v>
      </c>
      <c r="C31" s="19" t="s">
        <v>433</v>
      </c>
      <c r="D31" s="14" t="s">
        <v>302</v>
      </c>
      <c r="E31" s="34"/>
      <c r="F31" s="35"/>
    </row>
    <row r="32" spans="1:6" ht="35.25" customHeight="1" x14ac:dyDescent="0.2">
      <c r="B32" s="322" t="s">
        <v>434</v>
      </c>
      <c r="C32" s="19" t="s">
        <v>762</v>
      </c>
      <c r="D32" s="14" t="s">
        <v>303</v>
      </c>
      <c r="E32" s="34"/>
      <c r="F32" s="35"/>
    </row>
    <row r="33" spans="1:6" ht="25.5" customHeight="1" x14ac:dyDescent="0.2">
      <c r="B33" s="322" t="s">
        <v>435</v>
      </c>
      <c r="C33" s="19" t="s">
        <v>436</v>
      </c>
      <c r="D33" s="14" t="s">
        <v>304</v>
      </c>
      <c r="E33" s="34"/>
      <c r="F33" s="35"/>
    </row>
    <row r="34" spans="1:6" ht="25.5" customHeight="1" x14ac:dyDescent="0.2">
      <c r="B34" s="322" t="s">
        <v>435</v>
      </c>
      <c r="C34" s="19" t="s">
        <v>437</v>
      </c>
      <c r="D34" s="14" t="s">
        <v>305</v>
      </c>
      <c r="E34" s="34"/>
      <c r="F34" s="35"/>
    </row>
    <row r="35" spans="1:6" ht="37.5" customHeight="1" x14ac:dyDescent="0.2">
      <c r="B35" s="322" t="s">
        <v>779</v>
      </c>
      <c r="C35" s="19" t="s">
        <v>763</v>
      </c>
      <c r="D35" s="14" t="s">
        <v>306</v>
      </c>
      <c r="E35" s="34"/>
      <c r="F35" s="35"/>
    </row>
    <row r="36" spans="1:6" ht="25.5" customHeight="1" x14ac:dyDescent="0.2">
      <c r="B36" s="322" t="s">
        <v>780</v>
      </c>
      <c r="C36" s="19" t="s">
        <v>438</v>
      </c>
      <c r="D36" s="14" t="s">
        <v>307</v>
      </c>
      <c r="E36" s="34"/>
      <c r="F36" s="35"/>
    </row>
    <row r="37" spans="1:6" ht="25.5" customHeight="1" x14ac:dyDescent="0.2">
      <c r="B37" s="322" t="s">
        <v>439</v>
      </c>
      <c r="C37" s="19" t="s">
        <v>440</v>
      </c>
      <c r="D37" s="14" t="s">
        <v>308</v>
      </c>
      <c r="E37" s="34"/>
      <c r="F37" s="35"/>
    </row>
    <row r="38" spans="1:6" ht="25.5" customHeight="1" x14ac:dyDescent="0.2">
      <c r="B38" s="322" t="s">
        <v>441</v>
      </c>
      <c r="C38" s="19" t="s">
        <v>442</v>
      </c>
      <c r="D38" s="14" t="s">
        <v>309</v>
      </c>
      <c r="E38" s="34"/>
      <c r="F38" s="35"/>
    </row>
    <row r="39" spans="1:6" ht="20.100000000000001" customHeight="1" x14ac:dyDescent="0.2">
      <c r="A39" s="40"/>
      <c r="B39" s="322">
        <v>288</v>
      </c>
      <c r="C39" s="13" t="s">
        <v>443</v>
      </c>
      <c r="D39" s="14" t="s">
        <v>310</v>
      </c>
      <c r="E39" s="34"/>
      <c r="F39" s="35"/>
    </row>
    <row r="40" spans="1:6" ht="20.100000000000001" customHeight="1" x14ac:dyDescent="0.2">
      <c r="A40" s="40"/>
      <c r="B40" s="670"/>
      <c r="C40" s="15" t="s">
        <v>444</v>
      </c>
      <c r="D40" s="668" t="s">
        <v>311</v>
      </c>
      <c r="E40" s="664">
        <f>SUM(E42,E48,E49,E56,E61,E71,E72)</f>
        <v>156162</v>
      </c>
      <c r="F40" s="666">
        <f>SUM(F42,F48,F49,F56,F61,F71,F72)</f>
        <v>241948</v>
      </c>
    </row>
    <row r="41" spans="1:6" ht="19.5" customHeight="1" x14ac:dyDescent="0.2">
      <c r="A41" s="40"/>
      <c r="B41" s="670"/>
      <c r="C41" s="16" t="s">
        <v>445</v>
      </c>
      <c r="D41" s="668"/>
      <c r="E41" s="665"/>
      <c r="F41" s="667"/>
    </row>
    <row r="42" spans="1:6" ht="25.5" customHeight="1" x14ac:dyDescent="0.2">
      <c r="B42" s="322" t="s">
        <v>446</v>
      </c>
      <c r="C42" s="19" t="s">
        <v>447</v>
      </c>
      <c r="D42" s="14" t="s">
        <v>312</v>
      </c>
      <c r="E42" s="34">
        <f>SUM(E43:E47)</f>
        <v>1379</v>
      </c>
      <c r="F42" s="35">
        <f>SUM(F43:F47)</f>
        <v>41325</v>
      </c>
    </row>
    <row r="43" spans="1:6" ht="20.100000000000001" customHeight="1" x14ac:dyDescent="0.2">
      <c r="B43" s="322">
        <v>10</v>
      </c>
      <c r="C43" s="19" t="s">
        <v>448</v>
      </c>
      <c r="D43" s="14" t="s">
        <v>313</v>
      </c>
      <c r="E43" s="34"/>
      <c r="F43" s="35"/>
    </row>
    <row r="44" spans="1:6" ht="20.100000000000001" customHeight="1" x14ac:dyDescent="0.2">
      <c r="B44" s="322" t="s">
        <v>449</v>
      </c>
      <c r="C44" s="19" t="s">
        <v>450</v>
      </c>
      <c r="D44" s="14" t="s">
        <v>314</v>
      </c>
      <c r="E44" s="34"/>
      <c r="F44" s="35"/>
    </row>
    <row r="45" spans="1:6" ht="20.100000000000001" customHeight="1" x14ac:dyDescent="0.2">
      <c r="B45" s="322">
        <v>13</v>
      </c>
      <c r="C45" s="19" t="s">
        <v>451</v>
      </c>
      <c r="D45" s="14" t="s">
        <v>315</v>
      </c>
      <c r="E45" s="34"/>
      <c r="F45" s="35"/>
    </row>
    <row r="46" spans="1:6" ht="20.100000000000001" customHeight="1" x14ac:dyDescent="0.2">
      <c r="B46" s="322" t="s">
        <v>452</v>
      </c>
      <c r="C46" s="19" t="s">
        <v>453</v>
      </c>
      <c r="D46" s="14" t="s">
        <v>316</v>
      </c>
      <c r="E46" s="34">
        <v>1379</v>
      </c>
      <c r="F46" s="35">
        <v>41325</v>
      </c>
    </row>
    <row r="47" spans="1:6" ht="20.100000000000001" customHeight="1" x14ac:dyDescent="0.2">
      <c r="B47" s="322" t="s">
        <v>454</v>
      </c>
      <c r="C47" s="19" t="s">
        <v>455</v>
      </c>
      <c r="D47" s="14" t="s">
        <v>317</v>
      </c>
      <c r="E47" s="34"/>
      <c r="F47" s="35"/>
    </row>
    <row r="48" spans="1:6" ht="25.5" customHeight="1" x14ac:dyDescent="0.2">
      <c r="A48" s="40"/>
      <c r="B48" s="322">
        <v>14</v>
      </c>
      <c r="C48" s="19" t="s">
        <v>456</v>
      </c>
      <c r="D48" s="14" t="s">
        <v>318</v>
      </c>
      <c r="E48" s="34"/>
      <c r="F48" s="35"/>
    </row>
    <row r="49" spans="1:6" ht="20.100000000000001" customHeight="1" x14ac:dyDescent="0.2">
      <c r="A49" s="40"/>
      <c r="B49" s="670">
        <v>20</v>
      </c>
      <c r="C49" s="17" t="s">
        <v>457</v>
      </c>
      <c r="D49" s="668" t="s">
        <v>319</v>
      </c>
      <c r="E49" s="664">
        <f>SUM(E51:E55)</f>
        <v>0</v>
      </c>
      <c r="F49" s="666">
        <f>SUM(F51:F54)</f>
        <v>0</v>
      </c>
    </row>
    <row r="50" spans="1:6" ht="20.100000000000001" customHeight="1" x14ac:dyDescent="0.2">
      <c r="A50" s="40"/>
      <c r="B50" s="670"/>
      <c r="C50" s="18" t="s">
        <v>458</v>
      </c>
      <c r="D50" s="668"/>
      <c r="E50" s="665"/>
      <c r="F50" s="667"/>
    </row>
    <row r="51" spans="1:6" ht="20.100000000000001" customHeight="1" x14ac:dyDescent="0.2">
      <c r="A51" s="40"/>
      <c r="B51" s="322">
        <v>204</v>
      </c>
      <c r="C51" s="19" t="s">
        <v>459</v>
      </c>
      <c r="D51" s="14" t="s">
        <v>320</v>
      </c>
      <c r="E51" s="34"/>
      <c r="F51" s="35"/>
    </row>
    <row r="52" spans="1:6" ht="20.100000000000001" customHeight="1" x14ac:dyDescent="0.2">
      <c r="A52" s="40"/>
      <c r="B52" s="322">
        <v>205</v>
      </c>
      <c r="C52" s="19" t="s">
        <v>460</v>
      </c>
      <c r="D52" s="14" t="s">
        <v>321</v>
      </c>
      <c r="E52" s="34"/>
      <c r="F52" s="35"/>
    </row>
    <row r="53" spans="1:6" ht="25.5" customHeight="1" x14ac:dyDescent="0.2">
      <c r="A53" s="40"/>
      <c r="B53" s="322" t="s">
        <v>461</v>
      </c>
      <c r="C53" s="19" t="s">
        <v>462</v>
      </c>
      <c r="D53" s="14" t="s">
        <v>322</v>
      </c>
      <c r="E53" s="34"/>
      <c r="F53" s="35"/>
    </row>
    <row r="54" spans="1:6" ht="25.5" customHeight="1" x14ac:dyDescent="0.2">
      <c r="A54" s="40"/>
      <c r="B54" s="322" t="s">
        <v>463</v>
      </c>
      <c r="C54" s="19" t="s">
        <v>464</v>
      </c>
      <c r="D54" s="14" t="s">
        <v>323</v>
      </c>
      <c r="E54" s="34"/>
      <c r="F54" s="35"/>
    </row>
    <row r="55" spans="1:6" ht="20.100000000000001" customHeight="1" x14ac:dyDescent="0.2">
      <c r="A55" s="40"/>
      <c r="B55" s="322">
        <v>206</v>
      </c>
      <c r="C55" s="19" t="s">
        <v>465</v>
      </c>
      <c r="D55" s="14" t="s">
        <v>324</v>
      </c>
      <c r="E55" s="34"/>
      <c r="F55" s="35"/>
    </row>
    <row r="56" spans="1:6" ht="20.100000000000001" customHeight="1" x14ac:dyDescent="0.2">
      <c r="A56" s="40"/>
      <c r="B56" s="670" t="s">
        <v>466</v>
      </c>
      <c r="C56" s="17" t="s">
        <v>467</v>
      </c>
      <c r="D56" s="668" t="s">
        <v>325</v>
      </c>
      <c r="E56" s="664">
        <f>SUM(E58:E60)</f>
        <v>14053</v>
      </c>
      <c r="F56" s="666">
        <f>SUM(F58:F60)</f>
        <v>19037</v>
      </c>
    </row>
    <row r="57" spans="1:6" ht="20.100000000000001" customHeight="1" x14ac:dyDescent="0.2">
      <c r="A57" s="40"/>
      <c r="B57" s="670"/>
      <c r="C57" s="18" t="s">
        <v>468</v>
      </c>
      <c r="D57" s="668"/>
      <c r="E57" s="665"/>
      <c r="F57" s="667"/>
    </row>
    <row r="58" spans="1:6" ht="23.25" customHeight="1" x14ac:dyDescent="0.2">
      <c r="B58" s="322" t="s">
        <v>469</v>
      </c>
      <c r="C58" s="19" t="s">
        <v>470</v>
      </c>
      <c r="D58" s="14" t="s">
        <v>326</v>
      </c>
      <c r="E58" s="34">
        <v>14053</v>
      </c>
      <c r="F58" s="35">
        <v>19037</v>
      </c>
    </row>
    <row r="59" spans="1:6" ht="20.100000000000001" customHeight="1" x14ac:dyDescent="0.2">
      <c r="B59" s="322">
        <v>223</v>
      </c>
      <c r="C59" s="19" t="s">
        <v>471</v>
      </c>
      <c r="D59" s="14" t="s">
        <v>327</v>
      </c>
      <c r="E59" s="34"/>
      <c r="F59" s="35"/>
    </row>
    <row r="60" spans="1:6" ht="25.5" customHeight="1" x14ac:dyDescent="0.2">
      <c r="A60" s="40"/>
      <c r="B60" s="322">
        <v>224</v>
      </c>
      <c r="C60" s="19" t="s">
        <v>472</v>
      </c>
      <c r="D60" s="14" t="s">
        <v>328</v>
      </c>
      <c r="E60" s="34"/>
      <c r="F60" s="35"/>
    </row>
    <row r="61" spans="1:6" ht="20.100000000000001" customHeight="1" x14ac:dyDescent="0.2">
      <c r="A61" s="40"/>
      <c r="B61" s="670">
        <v>23</v>
      </c>
      <c r="C61" s="17" t="s">
        <v>473</v>
      </c>
      <c r="D61" s="668" t="s">
        <v>329</v>
      </c>
      <c r="E61" s="664">
        <f>SUM(E63:E70)</f>
        <v>0</v>
      </c>
      <c r="F61" s="666">
        <f>SUM(F63:F70)</f>
        <v>0</v>
      </c>
    </row>
    <row r="62" spans="1:6" ht="20.100000000000001" customHeight="1" x14ac:dyDescent="0.2">
      <c r="A62" s="40"/>
      <c r="B62" s="670"/>
      <c r="C62" s="18" t="s">
        <v>474</v>
      </c>
      <c r="D62" s="668"/>
      <c r="E62" s="665"/>
      <c r="F62" s="667"/>
    </row>
    <row r="63" spans="1:6" ht="25.5" customHeight="1" x14ac:dyDescent="0.2">
      <c r="B63" s="322">
        <v>230</v>
      </c>
      <c r="C63" s="19" t="s">
        <v>475</v>
      </c>
      <c r="D63" s="14" t="s">
        <v>330</v>
      </c>
      <c r="E63" s="34"/>
      <c r="F63" s="35"/>
    </row>
    <row r="64" spans="1:6" ht="25.5" customHeight="1" x14ac:dyDescent="0.2">
      <c r="B64" s="322">
        <v>231</v>
      </c>
      <c r="C64" s="19" t="s">
        <v>787</v>
      </c>
      <c r="D64" s="14" t="s">
        <v>331</v>
      </c>
      <c r="E64" s="34"/>
      <c r="F64" s="35"/>
    </row>
    <row r="65" spans="1:6" ht="20.100000000000001" customHeight="1" x14ac:dyDescent="0.2">
      <c r="B65" s="322" t="s">
        <v>476</v>
      </c>
      <c r="C65" s="19" t="s">
        <v>477</v>
      </c>
      <c r="D65" s="14" t="s">
        <v>332</v>
      </c>
      <c r="E65" s="34"/>
      <c r="F65" s="35"/>
    </row>
    <row r="66" spans="1:6" ht="25.5" customHeight="1" x14ac:dyDescent="0.2">
      <c r="B66" s="322" t="s">
        <v>478</v>
      </c>
      <c r="C66" s="19" t="s">
        <v>479</v>
      </c>
      <c r="D66" s="14" t="s">
        <v>333</v>
      </c>
      <c r="E66" s="34"/>
      <c r="F66" s="35"/>
    </row>
    <row r="67" spans="1:6" ht="25.5" customHeight="1" x14ac:dyDescent="0.2">
      <c r="B67" s="322">
        <v>235</v>
      </c>
      <c r="C67" s="19" t="s">
        <v>480</v>
      </c>
      <c r="D67" s="14" t="s">
        <v>334</v>
      </c>
      <c r="E67" s="34"/>
      <c r="F67" s="35"/>
    </row>
    <row r="68" spans="1:6" ht="25.5" customHeight="1" x14ac:dyDescent="0.2">
      <c r="B68" s="322" t="s">
        <v>481</v>
      </c>
      <c r="C68" s="19" t="s">
        <v>764</v>
      </c>
      <c r="D68" s="14" t="s">
        <v>335</v>
      </c>
      <c r="E68" s="34"/>
      <c r="F68" s="35"/>
    </row>
    <row r="69" spans="1:6" ht="25.5" customHeight="1" x14ac:dyDescent="0.2">
      <c r="B69" s="322">
        <v>237</v>
      </c>
      <c r="C69" s="19" t="s">
        <v>482</v>
      </c>
      <c r="D69" s="14" t="s">
        <v>336</v>
      </c>
      <c r="E69" s="34"/>
      <c r="F69" s="35"/>
    </row>
    <row r="70" spans="1:6" ht="20.100000000000001" customHeight="1" x14ac:dyDescent="0.2">
      <c r="B70" s="322" t="s">
        <v>483</v>
      </c>
      <c r="C70" s="19" t="s">
        <v>484</v>
      </c>
      <c r="D70" s="14" t="s">
        <v>337</v>
      </c>
      <c r="E70" s="34"/>
      <c r="F70" s="35"/>
    </row>
    <row r="71" spans="1:6" ht="20.100000000000001" customHeight="1" x14ac:dyDescent="0.2">
      <c r="B71" s="322">
        <v>24</v>
      </c>
      <c r="C71" s="19" t="s">
        <v>485</v>
      </c>
      <c r="D71" s="14" t="s">
        <v>338</v>
      </c>
      <c r="E71" s="34">
        <v>1990</v>
      </c>
      <c r="F71" s="35">
        <v>1874</v>
      </c>
    </row>
    <row r="72" spans="1:6" ht="25.5" customHeight="1" x14ac:dyDescent="0.2">
      <c r="B72" s="322" t="s">
        <v>486</v>
      </c>
      <c r="C72" s="19" t="s">
        <v>487</v>
      </c>
      <c r="D72" s="14" t="s">
        <v>339</v>
      </c>
      <c r="E72" s="34">
        <v>138740</v>
      </c>
      <c r="F72" s="35">
        <v>179712</v>
      </c>
    </row>
    <row r="73" spans="1:6" ht="25.5" customHeight="1" x14ac:dyDescent="0.2">
      <c r="B73" s="322"/>
      <c r="C73" s="13" t="s">
        <v>570</v>
      </c>
      <c r="D73" s="14" t="s">
        <v>340</v>
      </c>
      <c r="E73" s="34">
        <f>SUM(E8,E39,E40)</f>
        <v>159166</v>
      </c>
      <c r="F73" s="35">
        <f>SUM(F8,F39,F40)</f>
        <v>245533</v>
      </c>
    </row>
    <row r="74" spans="1:6" ht="20.100000000000001" customHeight="1" x14ac:dyDescent="0.2">
      <c r="B74" s="322">
        <v>88</v>
      </c>
      <c r="C74" s="13" t="s">
        <v>488</v>
      </c>
      <c r="D74" s="14" t="s">
        <v>341</v>
      </c>
      <c r="E74" s="34">
        <v>1335130</v>
      </c>
      <c r="F74" s="35">
        <v>1011803</v>
      </c>
    </row>
    <row r="75" spans="1:6" ht="20.100000000000001" customHeight="1" x14ac:dyDescent="0.2">
      <c r="A75" s="40"/>
      <c r="B75" s="321"/>
      <c r="C75" s="13" t="s">
        <v>37</v>
      </c>
      <c r="D75" s="20"/>
      <c r="E75" s="34"/>
      <c r="F75" s="35"/>
    </row>
    <row r="76" spans="1:6" ht="20.100000000000001" customHeight="1" x14ac:dyDescent="0.2">
      <c r="A76" s="40"/>
      <c r="B76" s="670"/>
      <c r="C76" s="15" t="s">
        <v>489</v>
      </c>
      <c r="D76" s="668" t="s">
        <v>137</v>
      </c>
      <c r="E76" s="664">
        <f>SUM(E78:E82,-E83,E84,E87,-E88)</f>
        <v>1797</v>
      </c>
      <c r="F76" s="666">
        <v>0</v>
      </c>
    </row>
    <row r="77" spans="1:6" ht="20.100000000000001" customHeight="1" x14ac:dyDescent="0.2">
      <c r="A77" s="40"/>
      <c r="B77" s="670"/>
      <c r="C77" s="16" t="s">
        <v>490</v>
      </c>
      <c r="D77" s="668"/>
      <c r="E77" s="665"/>
      <c r="F77" s="667"/>
    </row>
    <row r="78" spans="1:6" ht="20.100000000000001" customHeight="1" x14ac:dyDescent="0.2">
      <c r="A78" s="40"/>
      <c r="B78" s="322" t="s">
        <v>491</v>
      </c>
      <c r="C78" s="19" t="s">
        <v>492</v>
      </c>
      <c r="D78" s="14" t="s">
        <v>138</v>
      </c>
      <c r="E78" s="34">
        <v>20</v>
      </c>
      <c r="F78" s="35">
        <v>20</v>
      </c>
    </row>
    <row r="79" spans="1:6" ht="20.100000000000001" customHeight="1" x14ac:dyDescent="0.2">
      <c r="B79" s="322">
        <v>31</v>
      </c>
      <c r="C79" s="19" t="s">
        <v>493</v>
      </c>
      <c r="D79" s="14" t="s">
        <v>139</v>
      </c>
      <c r="E79" s="34"/>
      <c r="F79" s="35"/>
    </row>
    <row r="80" spans="1:6" ht="20.100000000000001" customHeight="1" x14ac:dyDescent="0.2">
      <c r="B80" s="322">
        <v>306</v>
      </c>
      <c r="C80" s="19" t="s">
        <v>494</v>
      </c>
      <c r="D80" s="14" t="s">
        <v>140</v>
      </c>
      <c r="E80" s="34"/>
      <c r="F80" s="35"/>
    </row>
    <row r="81" spans="1:6" ht="20.100000000000001" customHeight="1" x14ac:dyDescent="0.2">
      <c r="B81" s="322">
        <v>32</v>
      </c>
      <c r="C81" s="19" t="s">
        <v>495</v>
      </c>
      <c r="D81" s="14" t="s">
        <v>141</v>
      </c>
      <c r="E81" s="34"/>
      <c r="F81" s="35"/>
    </row>
    <row r="82" spans="1:6" ht="60.75" customHeight="1" x14ac:dyDescent="0.2">
      <c r="B82" s="322" t="s">
        <v>496</v>
      </c>
      <c r="C82" s="19" t="s">
        <v>781</v>
      </c>
      <c r="D82" s="14" t="s">
        <v>142</v>
      </c>
      <c r="E82" s="34"/>
      <c r="F82" s="35"/>
    </row>
    <row r="83" spans="1:6" ht="49.5" customHeight="1" x14ac:dyDescent="0.2">
      <c r="B83" s="322" t="s">
        <v>497</v>
      </c>
      <c r="C83" s="19" t="s">
        <v>782</v>
      </c>
      <c r="D83" s="14" t="s">
        <v>143</v>
      </c>
      <c r="E83" s="34"/>
      <c r="F83" s="35"/>
    </row>
    <row r="84" spans="1:6" ht="20.100000000000001" customHeight="1" x14ac:dyDescent="0.2">
      <c r="B84" s="322">
        <v>34</v>
      </c>
      <c r="C84" s="19" t="s">
        <v>498</v>
      </c>
      <c r="D84" s="14" t="s">
        <v>144</v>
      </c>
      <c r="E84" s="34">
        <f>SUM(E85:E86)</f>
        <v>1777</v>
      </c>
      <c r="F84" s="35">
        <f>SUM(F85:F86)</f>
        <v>183</v>
      </c>
    </row>
    <row r="85" spans="1:6" ht="20.100000000000001" customHeight="1" x14ac:dyDescent="0.2">
      <c r="B85" s="322">
        <v>340</v>
      </c>
      <c r="C85" s="19" t="s">
        <v>154</v>
      </c>
      <c r="D85" s="14" t="s">
        <v>145</v>
      </c>
      <c r="E85" s="34">
        <v>677</v>
      </c>
      <c r="F85" s="35">
        <v>183</v>
      </c>
    </row>
    <row r="86" spans="1:6" ht="20.100000000000001" customHeight="1" x14ac:dyDescent="0.2">
      <c r="B86" s="322">
        <v>341</v>
      </c>
      <c r="C86" s="19" t="s">
        <v>499</v>
      </c>
      <c r="D86" s="14" t="s">
        <v>146</v>
      </c>
      <c r="E86" s="34">
        <v>1100</v>
      </c>
      <c r="F86" s="35"/>
    </row>
    <row r="87" spans="1:6" ht="20.100000000000001" customHeight="1" x14ac:dyDescent="0.2">
      <c r="B87" s="322"/>
      <c r="C87" s="19" t="s">
        <v>500</v>
      </c>
      <c r="D87" s="14" t="s">
        <v>147</v>
      </c>
      <c r="E87" s="34"/>
      <c r="F87" s="35"/>
    </row>
    <row r="88" spans="1:6" ht="20.100000000000001" customHeight="1" x14ac:dyDescent="0.2">
      <c r="B88" s="322">
        <v>35</v>
      </c>
      <c r="C88" s="19" t="s">
        <v>501</v>
      </c>
      <c r="D88" s="14" t="s">
        <v>148</v>
      </c>
      <c r="E88" s="34">
        <f>SUM(E89:E90)</f>
        <v>0</v>
      </c>
      <c r="F88" s="35">
        <f>SUM(F89:F90)</f>
        <v>12284</v>
      </c>
    </row>
    <row r="89" spans="1:6" ht="20.100000000000001" customHeight="1" x14ac:dyDescent="0.2">
      <c r="B89" s="322">
        <v>350</v>
      </c>
      <c r="C89" s="19" t="s">
        <v>502</v>
      </c>
      <c r="D89" s="14" t="s">
        <v>149</v>
      </c>
      <c r="E89" s="34"/>
      <c r="F89" s="35"/>
    </row>
    <row r="90" spans="1:6" ht="20.100000000000001" customHeight="1" x14ac:dyDescent="0.2">
      <c r="A90" s="40"/>
      <c r="B90" s="322">
        <v>351</v>
      </c>
      <c r="C90" s="19" t="s">
        <v>160</v>
      </c>
      <c r="D90" s="14" t="s">
        <v>150</v>
      </c>
      <c r="E90" s="34"/>
      <c r="F90" s="35">
        <v>12284</v>
      </c>
    </row>
    <row r="91" spans="1:6" ht="22.5" customHeight="1" x14ac:dyDescent="0.2">
      <c r="A91" s="40"/>
      <c r="B91" s="670"/>
      <c r="C91" s="15" t="s">
        <v>503</v>
      </c>
      <c r="D91" s="668" t="s">
        <v>151</v>
      </c>
      <c r="E91" s="664">
        <f>SUM(E93,E98,E107)</f>
        <v>0</v>
      </c>
      <c r="F91" s="666">
        <f>SUM(F93,F98,F107)</f>
        <v>0</v>
      </c>
    </row>
    <row r="92" spans="1:6" ht="20.100000000000001" customHeight="1" x14ac:dyDescent="0.2">
      <c r="A92" s="40"/>
      <c r="B92" s="670"/>
      <c r="C92" s="16" t="s">
        <v>504</v>
      </c>
      <c r="D92" s="668"/>
      <c r="E92" s="665"/>
      <c r="F92" s="667"/>
    </row>
    <row r="93" spans="1:6" ht="20.100000000000001" customHeight="1" x14ac:dyDescent="0.2">
      <c r="A93" s="40"/>
      <c r="B93" s="670">
        <v>40</v>
      </c>
      <c r="C93" s="17" t="s">
        <v>505</v>
      </c>
      <c r="D93" s="668" t="s">
        <v>152</v>
      </c>
      <c r="E93" s="664">
        <f>SUM(E95:E97)</f>
        <v>0</v>
      </c>
      <c r="F93" s="666"/>
    </row>
    <row r="94" spans="1:6" ht="20.100000000000001" customHeight="1" x14ac:dyDescent="0.2">
      <c r="A94" s="40"/>
      <c r="B94" s="670"/>
      <c r="C94" s="18" t="s">
        <v>506</v>
      </c>
      <c r="D94" s="668"/>
      <c r="E94" s="665"/>
      <c r="F94" s="667"/>
    </row>
    <row r="95" spans="1:6" ht="25.5" customHeight="1" x14ac:dyDescent="0.2">
      <c r="A95" s="40"/>
      <c r="B95" s="322">
        <v>404</v>
      </c>
      <c r="C95" s="19" t="s">
        <v>507</v>
      </c>
      <c r="D95" s="14" t="s">
        <v>153</v>
      </c>
      <c r="E95" s="34"/>
      <c r="F95" s="35"/>
    </row>
    <row r="96" spans="1:6" ht="20.100000000000001" customHeight="1" x14ac:dyDescent="0.2">
      <c r="A96" s="40"/>
      <c r="B96" s="322">
        <v>400</v>
      </c>
      <c r="C96" s="19" t="s">
        <v>508</v>
      </c>
      <c r="D96" s="14" t="s">
        <v>155</v>
      </c>
      <c r="E96" s="34"/>
      <c r="F96" s="35"/>
    </row>
    <row r="97" spans="1:6" ht="20.100000000000001" customHeight="1" x14ac:dyDescent="0.2">
      <c r="A97" s="40"/>
      <c r="B97" s="322" t="s">
        <v>783</v>
      </c>
      <c r="C97" s="19" t="s">
        <v>509</v>
      </c>
      <c r="D97" s="14" t="s">
        <v>156</v>
      </c>
      <c r="E97" s="34"/>
      <c r="F97" s="35"/>
    </row>
    <row r="98" spans="1:6" ht="20.100000000000001" customHeight="1" x14ac:dyDescent="0.2">
      <c r="A98" s="40"/>
      <c r="B98" s="670">
        <v>41</v>
      </c>
      <c r="C98" s="17" t="s">
        <v>510</v>
      </c>
      <c r="D98" s="668" t="s">
        <v>157</v>
      </c>
      <c r="E98" s="664">
        <f>SUM(E100:E106)</f>
        <v>0</v>
      </c>
      <c r="F98" s="666">
        <f>SUM(F100:F106)</f>
        <v>0</v>
      </c>
    </row>
    <row r="99" spans="1:6" ht="12.75" customHeight="1" x14ac:dyDescent="0.2">
      <c r="A99" s="40"/>
      <c r="B99" s="670"/>
      <c r="C99" s="18" t="s">
        <v>511</v>
      </c>
      <c r="D99" s="668"/>
      <c r="E99" s="665"/>
      <c r="F99" s="667"/>
    </row>
    <row r="100" spans="1:6" ht="20.100000000000001" customHeight="1" x14ac:dyDescent="0.2">
      <c r="B100" s="322">
        <v>410</v>
      </c>
      <c r="C100" s="19" t="s">
        <v>512</v>
      </c>
      <c r="D100" s="14" t="s">
        <v>158</v>
      </c>
      <c r="E100" s="34"/>
      <c r="F100" s="35"/>
    </row>
    <row r="101" spans="1:6" ht="36.75" customHeight="1" x14ac:dyDescent="0.2">
      <c r="B101" s="322" t="s">
        <v>513</v>
      </c>
      <c r="C101" s="19" t="s">
        <v>514</v>
      </c>
      <c r="D101" s="14" t="s">
        <v>159</v>
      </c>
      <c r="E101" s="34"/>
      <c r="F101" s="35"/>
    </row>
    <row r="102" spans="1:6" ht="39" customHeight="1" x14ac:dyDescent="0.2">
      <c r="B102" s="322" t="s">
        <v>513</v>
      </c>
      <c r="C102" s="19" t="s">
        <v>515</v>
      </c>
      <c r="D102" s="14" t="s">
        <v>161</v>
      </c>
      <c r="E102" s="34"/>
      <c r="F102" s="35"/>
    </row>
    <row r="103" spans="1:6" ht="25.5" customHeight="1" x14ac:dyDescent="0.2">
      <c r="B103" s="322" t="s">
        <v>516</v>
      </c>
      <c r="C103" s="19" t="s">
        <v>517</v>
      </c>
      <c r="D103" s="14" t="s">
        <v>162</v>
      </c>
      <c r="E103" s="34"/>
      <c r="F103" s="35"/>
    </row>
    <row r="104" spans="1:6" ht="25.5" customHeight="1" x14ac:dyDescent="0.2">
      <c r="B104" s="322" t="s">
        <v>518</v>
      </c>
      <c r="C104" s="19" t="s">
        <v>765</v>
      </c>
      <c r="D104" s="14" t="s">
        <v>163</v>
      </c>
      <c r="E104" s="34"/>
      <c r="F104" s="35"/>
    </row>
    <row r="105" spans="1:6" ht="20.100000000000001" customHeight="1" x14ac:dyDescent="0.2">
      <c r="B105" s="322">
        <v>413</v>
      </c>
      <c r="C105" s="19" t="s">
        <v>519</v>
      </c>
      <c r="D105" s="14" t="s">
        <v>164</v>
      </c>
      <c r="E105" s="34"/>
      <c r="F105" s="35"/>
    </row>
    <row r="106" spans="1:6" ht="20.100000000000001" customHeight="1" x14ac:dyDescent="0.2">
      <c r="B106" s="322">
        <v>419</v>
      </c>
      <c r="C106" s="19" t="s">
        <v>520</v>
      </c>
      <c r="D106" s="14" t="s">
        <v>165</v>
      </c>
      <c r="E106" s="34"/>
      <c r="F106" s="35"/>
    </row>
    <row r="107" spans="1:6" ht="24" customHeight="1" x14ac:dyDescent="0.2">
      <c r="B107" s="322" t="s">
        <v>521</v>
      </c>
      <c r="C107" s="19" t="s">
        <v>522</v>
      </c>
      <c r="D107" s="14" t="s">
        <v>166</v>
      </c>
      <c r="E107" s="34"/>
      <c r="F107" s="35"/>
    </row>
    <row r="108" spans="1:6" ht="20.100000000000001" customHeight="1" x14ac:dyDescent="0.2">
      <c r="B108" s="322">
        <v>498</v>
      </c>
      <c r="C108" s="13" t="s">
        <v>523</v>
      </c>
      <c r="D108" s="14" t="s">
        <v>167</v>
      </c>
      <c r="E108" s="34"/>
      <c r="F108" s="35"/>
    </row>
    <row r="109" spans="1:6" ht="24" customHeight="1" x14ac:dyDescent="0.2">
      <c r="A109" s="40"/>
      <c r="B109" s="322" t="s">
        <v>524</v>
      </c>
      <c r="C109" s="13" t="s">
        <v>525</v>
      </c>
      <c r="D109" s="14" t="s">
        <v>168</v>
      </c>
      <c r="E109" s="34"/>
      <c r="F109" s="35"/>
    </row>
    <row r="110" spans="1:6" ht="23.25" customHeight="1" x14ac:dyDescent="0.2">
      <c r="A110" s="40"/>
      <c r="B110" s="670"/>
      <c r="C110" s="15" t="s">
        <v>526</v>
      </c>
      <c r="D110" s="668" t="s">
        <v>169</v>
      </c>
      <c r="E110" s="664">
        <f>SUM(E112:E114,E122:E124,E131,E136:E137)</f>
        <v>157369</v>
      </c>
      <c r="F110" s="666">
        <f>SUM(F112:F114,F122:F124,F131,F136:F137)</f>
        <v>257614</v>
      </c>
    </row>
    <row r="111" spans="1:6" ht="14.25" customHeight="1" x14ac:dyDescent="0.2">
      <c r="A111" s="40"/>
      <c r="B111" s="670"/>
      <c r="C111" s="16" t="s">
        <v>527</v>
      </c>
      <c r="D111" s="668"/>
      <c r="E111" s="665"/>
      <c r="F111" s="667"/>
    </row>
    <row r="112" spans="1:6" ht="20.100000000000001" customHeight="1" x14ac:dyDescent="0.2">
      <c r="A112" s="40"/>
      <c r="B112" s="322">
        <v>467</v>
      </c>
      <c r="C112" s="19" t="s">
        <v>528</v>
      </c>
      <c r="D112" s="14" t="s">
        <v>170</v>
      </c>
      <c r="E112" s="34"/>
      <c r="F112" s="35">
        <v>344</v>
      </c>
    </row>
    <row r="113" spans="1:6" ht="20.100000000000001" customHeight="1" x14ac:dyDescent="0.2">
      <c r="A113" s="40"/>
      <c r="B113" s="670" t="s">
        <v>529</v>
      </c>
      <c r="C113" s="17" t="s">
        <v>530</v>
      </c>
      <c r="D113" s="668" t="s">
        <v>171</v>
      </c>
      <c r="E113" s="664">
        <f>SUM(E115:E121)</f>
        <v>0</v>
      </c>
      <c r="F113" s="666">
        <f>SUM(F115:F121)</f>
        <v>30000</v>
      </c>
    </row>
    <row r="114" spans="1:6" ht="15.75" customHeight="1" x14ac:dyDescent="0.2">
      <c r="A114" s="40"/>
      <c r="B114" s="670"/>
      <c r="C114" s="18" t="s">
        <v>531</v>
      </c>
      <c r="D114" s="668"/>
      <c r="E114" s="665"/>
      <c r="F114" s="667"/>
    </row>
    <row r="115" spans="1:6" ht="25.5" customHeight="1" x14ac:dyDescent="0.2">
      <c r="A115" s="40"/>
      <c r="B115" s="322" t="s">
        <v>532</v>
      </c>
      <c r="C115" s="19" t="s">
        <v>533</v>
      </c>
      <c r="D115" s="14" t="s">
        <v>172</v>
      </c>
      <c r="E115" s="34"/>
      <c r="F115" s="35"/>
    </row>
    <row r="116" spans="1:6" ht="25.5" customHeight="1" x14ac:dyDescent="0.2">
      <c r="B116" s="322" t="s">
        <v>532</v>
      </c>
      <c r="C116" s="19" t="s">
        <v>534</v>
      </c>
      <c r="D116" s="14" t="s">
        <v>173</v>
      </c>
      <c r="E116" s="34"/>
      <c r="F116" s="35"/>
    </row>
    <row r="117" spans="1:6" ht="25.5" customHeight="1" x14ac:dyDescent="0.2">
      <c r="B117" s="322" t="s">
        <v>535</v>
      </c>
      <c r="C117" s="19" t="s">
        <v>536</v>
      </c>
      <c r="D117" s="14" t="s">
        <v>174</v>
      </c>
      <c r="E117" s="34"/>
      <c r="F117" s="35">
        <v>30000</v>
      </c>
    </row>
    <row r="118" spans="1:6" ht="24.75" customHeight="1" x14ac:dyDescent="0.2">
      <c r="B118" s="322" t="s">
        <v>537</v>
      </c>
      <c r="C118" s="19" t="s">
        <v>538</v>
      </c>
      <c r="D118" s="14" t="s">
        <v>175</v>
      </c>
      <c r="E118" s="34"/>
      <c r="F118" s="35"/>
    </row>
    <row r="119" spans="1:6" ht="24.75" customHeight="1" x14ac:dyDescent="0.2">
      <c r="B119" s="322" t="s">
        <v>539</v>
      </c>
      <c r="C119" s="19" t="s">
        <v>540</v>
      </c>
      <c r="D119" s="14" t="s">
        <v>176</v>
      </c>
      <c r="E119" s="34"/>
      <c r="F119" s="35"/>
    </row>
    <row r="120" spans="1:6" ht="20.100000000000001" customHeight="1" x14ac:dyDescent="0.2">
      <c r="B120" s="322">
        <v>426</v>
      </c>
      <c r="C120" s="19" t="s">
        <v>541</v>
      </c>
      <c r="D120" s="14" t="s">
        <v>177</v>
      </c>
      <c r="E120" s="34"/>
      <c r="F120" s="35"/>
    </row>
    <row r="121" spans="1:6" ht="20.100000000000001" customHeight="1" x14ac:dyDescent="0.2">
      <c r="B121" s="322">
        <v>428</v>
      </c>
      <c r="C121" s="19" t="s">
        <v>542</v>
      </c>
      <c r="D121" s="14" t="s">
        <v>178</v>
      </c>
      <c r="E121" s="34"/>
      <c r="F121" s="35"/>
    </row>
    <row r="122" spans="1:6" ht="20.100000000000001" customHeight="1" x14ac:dyDescent="0.2">
      <c r="B122" s="322">
        <v>430</v>
      </c>
      <c r="C122" s="19" t="s">
        <v>543</v>
      </c>
      <c r="D122" s="14" t="s">
        <v>179</v>
      </c>
      <c r="E122" s="34">
        <v>130</v>
      </c>
      <c r="F122" s="35">
        <v>24892</v>
      </c>
    </row>
    <row r="123" spans="1:6" ht="20.100000000000001" customHeight="1" x14ac:dyDescent="0.2">
      <c r="A123" s="40"/>
      <c r="B123" s="670" t="s">
        <v>544</v>
      </c>
      <c r="C123" s="17" t="s">
        <v>545</v>
      </c>
      <c r="D123" s="668" t="s">
        <v>180</v>
      </c>
      <c r="E123" s="664">
        <f>SUM(E125:E130)</f>
        <v>18499</v>
      </c>
      <c r="F123" s="666">
        <f>SUM(F125:F130)</f>
        <v>22430</v>
      </c>
    </row>
    <row r="124" spans="1:6" ht="15.75" customHeight="1" x14ac:dyDescent="0.2">
      <c r="A124" s="40"/>
      <c r="B124" s="670"/>
      <c r="C124" s="18" t="s">
        <v>546</v>
      </c>
      <c r="D124" s="668"/>
      <c r="E124" s="665"/>
      <c r="F124" s="667"/>
    </row>
    <row r="125" spans="1:6" ht="24.75" customHeight="1" x14ac:dyDescent="0.2">
      <c r="B125" s="322" t="s">
        <v>547</v>
      </c>
      <c r="C125" s="19" t="s">
        <v>548</v>
      </c>
      <c r="D125" s="14" t="s">
        <v>181</v>
      </c>
      <c r="E125" s="34"/>
      <c r="F125" s="35"/>
    </row>
    <row r="126" spans="1:6" ht="24.75" customHeight="1" x14ac:dyDescent="0.2">
      <c r="B126" s="322" t="s">
        <v>549</v>
      </c>
      <c r="C126" s="19" t="s">
        <v>550</v>
      </c>
      <c r="D126" s="14" t="s">
        <v>182</v>
      </c>
      <c r="E126" s="34"/>
      <c r="F126" s="35"/>
    </row>
    <row r="127" spans="1:6" ht="20.100000000000001" customHeight="1" x14ac:dyDescent="0.2">
      <c r="B127" s="322">
        <v>435</v>
      </c>
      <c r="C127" s="19" t="s">
        <v>551</v>
      </c>
      <c r="D127" s="14" t="s">
        <v>183</v>
      </c>
      <c r="E127" s="34"/>
      <c r="F127" s="35">
        <v>3345</v>
      </c>
    </row>
    <row r="128" spans="1:6" ht="20.100000000000001" customHeight="1" x14ac:dyDescent="0.2">
      <c r="B128" s="322">
        <v>436</v>
      </c>
      <c r="C128" s="19" t="s">
        <v>552</v>
      </c>
      <c r="D128" s="14" t="s">
        <v>184</v>
      </c>
      <c r="E128" s="34"/>
      <c r="F128" s="35"/>
    </row>
    <row r="129" spans="1:6" ht="20.100000000000001" customHeight="1" x14ac:dyDescent="0.2">
      <c r="B129" s="322" t="s">
        <v>553</v>
      </c>
      <c r="C129" s="19" t="s">
        <v>554</v>
      </c>
      <c r="D129" s="14" t="s">
        <v>185</v>
      </c>
      <c r="E129" s="34"/>
      <c r="F129" s="35"/>
    </row>
    <row r="130" spans="1:6" ht="20.100000000000001" customHeight="1" x14ac:dyDescent="0.2">
      <c r="B130" s="322" t="s">
        <v>553</v>
      </c>
      <c r="C130" s="19" t="s">
        <v>555</v>
      </c>
      <c r="D130" s="14" t="s">
        <v>186</v>
      </c>
      <c r="E130" s="34">
        <v>18499</v>
      </c>
      <c r="F130" s="35">
        <v>19085</v>
      </c>
    </row>
    <row r="131" spans="1:6" ht="20.100000000000001" customHeight="1" x14ac:dyDescent="0.2">
      <c r="A131" s="40"/>
      <c r="B131" s="670" t="s">
        <v>556</v>
      </c>
      <c r="C131" s="17" t="s">
        <v>557</v>
      </c>
      <c r="D131" s="668" t="s">
        <v>187</v>
      </c>
      <c r="E131" s="664">
        <f>SUM(E133:E135)</f>
        <v>0</v>
      </c>
      <c r="F131" s="666">
        <f>SUM(F133:F135)</f>
        <v>236</v>
      </c>
    </row>
    <row r="132" spans="1:6" ht="15" customHeight="1" x14ac:dyDescent="0.2">
      <c r="A132" s="40"/>
      <c r="B132" s="670"/>
      <c r="C132" s="18" t="s">
        <v>558</v>
      </c>
      <c r="D132" s="668"/>
      <c r="E132" s="665"/>
      <c r="F132" s="667"/>
    </row>
    <row r="133" spans="1:6" ht="20.100000000000001" customHeight="1" x14ac:dyDescent="0.2">
      <c r="B133" s="322" t="s">
        <v>784</v>
      </c>
      <c r="C133" s="19" t="s">
        <v>559</v>
      </c>
      <c r="D133" s="14" t="s">
        <v>188</v>
      </c>
      <c r="E133" s="34"/>
      <c r="F133" s="35"/>
    </row>
    <row r="134" spans="1:6" ht="24.75" customHeight="1" x14ac:dyDescent="0.2">
      <c r="B134" s="322" t="s">
        <v>560</v>
      </c>
      <c r="C134" s="19" t="s">
        <v>785</v>
      </c>
      <c r="D134" s="14" t="s">
        <v>189</v>
      </c>
      <c r="E134" s="34"/>
      <c r="F134" s="35">
        <v>236</v>
      </c>
    </row>
    <row r="135" spans="1:6" ht="20.100000000000001" customHeight="1" x14ac:dyDescent="0.2">
      <c r="B135" s="322">
        <v>481</v>
      </c>
      <c r="C135" s="19" t="s">
        <v>561</v>
      </c>
      <c r="D135" s="14" t="s">
        <v>190</v>
      </c>
      <c r="E135" s="34"/>
      <c r="F135" s="35"/>
    </row>
    <row r="136" spans="1:6" ht="36.75" customHeight="1" x14ac:dyDescent="0.2">
      <c r="B136" s="322">
        <v>427</v>
      </c>
      <c r="C136" s="19" t="s">
        <v>562</v>
      </c>
      <c r="D136" s="14" t="s">
        <v>191</v>
      </c>
      <c r="E136" s="34"/>
      <c r="F136" s="35"/>
    </row>
    <row r="137" spans="1:6" ht="33" customHeight="1" x14ac:dyDescent="0.2">
      <c r="A137" s="40"/>
      <c r="B137" s="322" t="s">
        <v>563</v>
      </c>
      <c r="C137" s="19" t="s">
        <v>564</v>
      </c>
      <c r="D137" s="14" t="s">
        <v>192</v>
      </c>
      <c r="E137" s="34">
        <v>138740</v>
      </c>
      <c r="F137" s="35">
        <v>179712</v>
      </c>
    </row>
    <row r="138" spans="1:6" ht="20.100000000000001" customHeight="1" x14ac:dyDescent="0.2">
      <c r="A138" s="40"/>
      <c r="B138" s="670"/>
      <c r="C138" s="15" t="s">
        <v>565</v>
      </c>
      <c r="D138" s="668" t="s">
        <v>193</v>
      </c>
      <c r="E138" s="664"/>
      <c r="F138" s="666">
        <v>12081</v>
      </c>
    </row>
    <row r="139" spans="1:6" ht="23.25" customHeight="1" x14ac:dyDescent="0.2">
      <c r="A139" s="40"/>
      <c r="B139" s="670"/>
      <c r="C139" s="16" t="s">
        <v>566</v>
      </c>
      <c r="D139" s="668"/>
      <c r="E139" s="665"/>
      <c r="F139" s="667"/>
    </row>
    <row r="140" spans="1:6" ht="20.100000000000001" customHeight="1" x14ac:dyDescent="0.2">
      <c r="A140" s="40"/>
      <c r="B140" s="670"/>
      <c r="C140" s="15" t="s">
        <v>567</v>
      </c>
      <c r="D140" s="668" t="s">
        <v>194</v>
      </c>
      <c r="E140" s="664">
        <f>SUM(E76,E91,E108:E111,-E138)</f>
        <v>159166</v>
      </c>
      <c r="F140" s="666">
        <f>SUM(F76,F91,F108:F111,-F138)</f>
        <v>245533</v>
      </c>
    </row>
    <row r="141" spans="1:6" ht="12" customHeight="1" x14ac:dyDescent="0.2">
      <c r="A141" s="40"/>
      <c r="B141" s="670"/>
      <c r="C141" s="16" t="s">
        <v>568</v>
      </c>
      <c r="D141" s="668"/>
      <c r="E141" s="665"/>
      <c r="F141" s="667"/>
    </row>
    <row r="142" spans="1:6" ht="20.100000000000001" customHeight="1" thickBot="1" x14ac:dyDescent="0.25">
      <c r="A142" s="40"/>
      <c r="B142" s="323">
        <v>89</v>
      </c>
      <c r="C142" s="25" t="s">
        <v>569</v>
      </c>
      <c r="D142" s="26" t="s">
        <v>195</v>
      </c>
      <c r="E142" s="36">
        <v>1335130</v>
      </c>
      <c r="F142" s="37">
        <v>1011803</v>
      </c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theme="6" tint="0.59999389629810485"/>
  </sheetPr>
  <dimension ref="B1:G68"/>
  <sheetViews>
    <sheetView showGridLines="0" topLeftCell="A52" workbookViewId="0">
      <selection activeCell="G15" sqref="G15:G21"/>
    </sheetView>
  </sheetViews>
  <sheetFormatPr defaultRowHeight="15.75" x14ac:dyDescent="0.25"/>
  <cols>
    <col min="1" max="1" width="3.42578125" style="43" customWidth="1"/>
    <col min="2" max="2" width="59.5703125" style="43" customWidth="1"/>
    <col min="3" max="3" width="9.42578125" style="43" customWidth="1"/>
    <col min="4" max="7" width="15.7109375" style="1" customWidth="1"/>
    <col min="8" max="16384" width="9.140625" style="43"/>
  </cols>
  <sheetData>
    <row r="1" spans="2:7" x14ac:dyDescent="0.25">
      <c r="G1" s="66" t="s">
        <v>752</v>
      </c>
    </row>
    <row r="2" spans="2:7" s="4" customFormat="1" ht="21.75" customHeight="1" x14ac:dyDescent="0.25">
      <c r="B2" s="683" t="s">
        <v>43</v>
      </c>
      <c r="C2" s="683"/>
      <c r="D2" s="683"/>
      <c r="E2" s="683"/>
      <c r="F2" s="683"/>
      <c r="G2" s="683"/>
    </row>
    <row r="3" spans="2:7" s="4" customFormat="1" ht="14.25" customHeight="1" x14ac:dyDescent="0.25">
      <c r="B3" s="683" t="s">
        <v>827</v>
      </c>
      <c r="C3" s="683"/>
      <c r="D3" s="683"/>
      <c r="E3" s="683"/>
      <c r="F3" s="683"/>
      <c r="G3" s="683"/>
    </row>
    <row r="4" spans="2:7" ht="16.5" thickBot="1" x14ac:dyDescent="0.3">
      <c r="D4" s="43"/>
      <c r="E4" s="43"/>
      <c r="F4" s="43"/>
      <c r="G4" s="38" t="s">
        <v>198</v>
      </c>
    </row>
    <row r="5" spans="2:7" ht="19.5" customHeight="1" x14ac:dyDescent="0.25">
      <c r="B5" s="760" t="s">
        <v>664</v>
      </c>
      <c r="C5" s="762" t="s">
        <v>40</v>
      </c>
      <c r="D5" s="735" t="s">
        <v>65</v>
      </c>
      <c r="E5" s="736"/>
      <c r="F5" s="736"/>
      <c r="G5" s="737"/>
    </row>
    <row r="6" spans="2:7" ht="36.75" customHeight="1" x14ac:dyDescent="0.25">
      <c r="B6" s="761"/>
      <c r="C6" s="763"/>
      <c r="D6" s="299" t="s">
        <v>828</v>
      </c>
      <c r="E6" s="300" t="s">
        <v>824</v>
      </c>
      <c r="F6" s="299" t="s">
        <v>829</v>
      </c>
      <c r="G6" s="301" t="s">
        <v>830</v>
      </c>
    </row>
    <row r="7" spans="2:7" ht="15" customHeight="1" thickBot="1" x14ac:dyDescent="0.3">
      <c r="B7" s="27">
        <v>1</v>
      </c>
      <c r="C7" s="24">
        <v>2</v>
      </c>
      <c r="D7" s="24">
        <v>3</v>
      </c>
      <c r="E7" s="24">
        <v>4</v>
      </c>
      <c r="F7" s="24">
        <v>5</v>
      </c>
      <c r="G7" s="50">
        <v>6</v>
      </c>
    </row>
    <row r="8" spans="2:7" ht="20.100000000000001" customHeight="1" x14ac:dyDescent="0.25">
      <c r="B8" s="567" t="s">
        <v>665</v>
      </c>
      <c r="C8" s="302"/>
      <c r="D8" s="73"/>
      <c r="E8" s="73"/>
      <c r="F8" s="73"/>
      <c r="G8" s="74"/>
    </row>
    <row r="9" spans="2:7" ht="20.100000000000001" customHeight="1" x14ac:dyDescent="0.25">
      <c r="B9" s="568" t="s">
        <v>666</v>
      </c>
      <c r="C9" s="303">
        <v>3001</v>
      </c>
      <c r="D9" s="304">
        <f>SUM(D10:D13)</f>
        <v>90348</v>
      </c>
      <c r="E9" s="304">
        <f>SUM(E10:E13)</f>
        <v>285029</v>
      </c>
      <c r="F9" s="304">
        <f>SUM(F10:F13)</f>
        <v>407779</v>
      </c>
      <c r="G9" s="596">
        <f>SUM(G10:G13)</f>
        <v>498569</v>
      </c>
    </row>
    <row r="10" spans="2:7" ht="20.100000000000001" customHeight="1" x14ac:dyDescent="0.25">
      <c r="B10" s="569" t="s">
        <v>667</v>
      </c>
      <c r="C10" s="11">
        <v>3002</v>
      </c>
      <c r="D10" s="86">
        <f>SUM(65543,88)</f>
        <v>65631</v>
      </c>
      <c r="E10" s="86">
        <f>SUM(235420,175)</f>
        <v>235595</v>
      </c>
      <c r="F10" s="86">
        <f>SUM(65542,141663,88612,1333,19333,20000,7881,264)</f>
        <v>344628</v>
      </c>
      <c r="G10" s="89">
        <f>SUM(65542,141663,88612,24113,2000,29000,20000,7881,350,42850)</f>
        <v>422011</v>
      </c>
    </row>
    <row r="11" spans="2:7" ht="20.100000000000001" customHeight="1" x14ac:dyDescent="0.25">
      <c r="B11" s="569" t="s">
        <v>668</v>
      </c>
      <c r="C11" s="11">
        <v>3003</v>
      </c>
      <c r="D11" s="73"/>
      <c r="E11" s="73"/>
      <c r="F11" s="73"/>
      <c r="G11" s="74"/>
    </row>
    <row r="12" spans="2:7" ht="20.100000000000001" customHeight="1" x14ac:dyDescent="0.25">
      <c r="B12" s="569" t="s">
        <v>669</v>
      </c>
      <c r="C12" s="11">
        <v>3004</v>
      </c>
      <c r="D12" s="73"/>
      <c r="E12" s="73"/>
      <c r="F12" s="73"/>
      <c r="G12" s="74"/>
    </row>
    <row r="13" spans="2:7" ht="20.100000000000001" customHeight="1" x14ac:dyDescent="0.25">
      <c r="B13" s="569" t="s">
        <v>768</v>
      </c>
      <c r="C13" s="11">
        <v>3005</v>
      </c>
      <c r="D13" s="73">
        <v>24717</v>
      </c>
      <c r="E13" s="73">
        <v>49434</v>
      </c>
      <c r="F13" s="969">
        <v>63151</v>
      </c>
      <c r="G13" s="970">
        <v>76558</v>
      </c>
    </row>
    <row r="14" spans="2:7" ht="20.100000000000001" customHeight="1" x14ac:dyDescent="0.25">
      <c r="B14" s="568" t="s">
        <v>670</v>
      </c>
      <c r="C14" s="307">
        <v>3006</v>
      </c>
      <c r="D14" s="305">
        <f>SUM(D15:D22)</f>
        <v>90260</v>
      </c>
      <c r="E14" s="305">
        <f>SUM(E15:E22)</f>
        <v>284854</v>
      </c>
      <c r="F14" s="305">
        <f>SUM(F15:F22)</f>
        <v>407516</v>
      </c>
      <c r="G14" s="306">
        <f>SUM(G15:G22)</f>
        <v>498219</v>
      </c>
    </row>
    <row r="15" spans="2:7" ht="20.100000000000001" customHeight="1" x14ac:dyDescent="0.25">
      <c r="B15" s="569" t="s">
        <v>671</v>
      </c>
      <c r="C15" s="11">
        <v>3007</v>
      </c>
      <c r="D15" s="73">
        <f>SUM(81464,390,-121)</f>
        <v>81733</v>
      </c>
      <c r="E15" s="73">
        <f>SUM(238827,666,9666,10000,7881,425,576,-239)</f>
        <v>267802</v>
      </c>
      <c r="F15" s="73">
        <f>SUM(343249,1333,19333,20000,7881,638,263,600,-13360)</f>
        <v>379937</v>
      </c>
      <c r="G15" s="970">
        <f>SUM(383172,2000,29000,20000,7881,850,900,1200,-950,40970,-20910)</f>
        <v>464113</v>
      </c>
    </row>
    <row r="16" spans="2:7" ht="20.100000000000001" customHeight="1" x14ac:dyDescent="0.25">
      <c r="B16" s="569" t="s">
        <v>672</v>
      </c>
      <c r="C16" s="11">
        <v>3008</v>
      </c>
      <c r="D16" s="73"/>
      <c r="E16" s="73"/>
      <c r="F16" s="73"/>
      <c r="G16" s="970"/>
    </row>
    <row r="17" spans="2:7" ht="20.100000000000001" customHeight="1" x14ac:dyDescent="0.25">
      <c r="B17" s="569" t="s">
        <v>673</v>
      </c>
      <c r="C17" s="11">
        <v>3009</v>
      </c>
      <c r="D17" s="73">
        <v>8112</v>
      </c>
      <c r="E17" s="73">
        <v>16222</v>
      </c>
      <c r="F17" s="73">
        <v>24334</v>
      </c>
      <c r="G17" s="970">
        <v>32446</v>
      </c>
    </row>
    <row r="18" spans="2:7" ht="20.100000000000001" customHeight="1" x14ac:dyDescent="0.25">
      <c r="B18" s="569" t="s">
        <v>674</v>
      </c>
      <c r="C18" s="11">
        <v>3010</v>
      </c>
      <c r="D18" s="73"/>
      <c r="E18" s="73"/>
      <c r="F18" s="73"/>
      <c r="G18" s="970"/>
    </row>
    <row r="19" spans="2:7" ht="20.100000000000001" customHeight="1" x14ac:dyDescent="0.25">
      <c r="B19" s="569" t="s">
        <v>675</v>
      </c>
      <c r="C19" s="11">
        <v>3011</v>
      </c>
      <c r="D19" s="87"/>
      <c r="E19" s="87"/>
      <c r="F19" s="87"/>
      <c r="G19" s="971"/>
    </row>
    <row r="20" spans="2:7" ht="20.100000000000001" customHeight="1" x14ac:dyDescent="0.25">
      <c r="B20" s="569" t="s">
        <v>676</v>
      </c>
      <c r="C20" s="11">
        <v>3012</v>
      </c>
      <c r="D20" s="73"/>
      <c r="E20" s="73"/>
      <c r="F20" s="73"/>
      <c r="G20" s="970"/>
    </row>
    <row r="21" spans="2:7" ht="20.100000000000001" customHeight="1" x14ac:dyDescent="0.25">
      <c r="B21" s="569" t="s">
        <v>677</v>
      </c>
      <c r="C21" s="11">
        <v>3013</v>
      </c>
      <c r="D21" s="73">
        <f>SUM(415)</f>
        <v>415</v>
      </c>
      <c r="E21" s="73">
        <f>SUM(415,415)</f>
        <v>830</v>
      </c>
      <c r="F21" s="73">
        <f>SUM(2415,415,415)</f>
        <v>3245</v>
      </c>
      <c r="G21" s="970">
        <f>SUM(415,415,415,415)</f>
        <v>1660</v>
      </c>
    </row>
    <row r="22" spans="2:7" ht="20.100000000000001" customHeight="1" x14ac:dyDescent="0.25">
      <c r="B22" s="569" t="s">
        <v>766</v>
      </c>
      <c r="C22" s="11">
        <v>3014</v>
      </c>
      <c r="D22" s="86"/>
      <c r="E22" s="86"/>
      <c r="F22" s="86"/>
      <c r="G22" s="89"/>
    </row>
    <row r="23" spans="2:7" ht="20.100000000000001" customHeight="1" x14ac:dyDescent="0.25">
      <c r="B23" s="569" t="s">
        <v>678</v>
      </c>
      <c r="C23" s="11">
        <v>3015</v>
      </c>
      <c r="D23" s="73">
        <f>SUM(D9-D14)</f>
        <v>88</v>
      </c>
      <c r="E23" s="73">
        <f>SUM(E9-E14)</f>
        <v>175</v>
      </c>
      <c r="F23" s="73">
        <f>SUM(F9-F14)</f>
        <v>263</v>
      </c>
      <c r="G23" s="74">
        <f>SUM(G9-G14)</f>
        <v>350</v>
      </c>
    </row>
    <row r="24" spans="2:7" ht="20.100000000000001" customHeight="1" x14ac:dyDescent="0.25">
      <c r="B24" s="569" t="s">
        <v>679</v>
      </c>
      <c r="C24" s="11">
        <v>3016</v>
      </c>
      <c r="D24" s="73"/>
      <c r="E24" s="73"/>
      <c r="F24" s="73"/>
      <c r="G24" s="74"/>
    </row>
    <row r="25" spans="2:7" ht="20.100000000000001" customHeight="1" x14ac:dyDescent="0.25">
      <c r="B25" s="570" t="s">
        <v>680</v>
      </c>
      <c r="C25" s="11"/>
      <c r="D25" s="73"/>
      <c r="E25" s="73"/>
      <c r="F25" s="73"/>
      <c r="G25" s="74"/>
    </row>
    <row r="26" spans="2:7" ht="20.100000000000001" customHeight="1" x14ac:dyDescent="0.25">
      <c r="B26" s="568" t="s">
        <v>132</v>
      </c>
      <c r="C26" s="307">
        <v>3017</v>
      </c>
      <c r="D26" s="305"/>
      <c r="E26" s="305"/>
      <c r="F26" s="305"/>
      <c r="G26" s="306"/>
    </row>
    <row r="27" spans="2:7" ht="20.100000000000001" customHeight="1" x14ac:dyDescent="0.25">
      <c r="B27" s="569" t="s">
        <v>681</v>
      </c>
      <c r="C27" s="11">
        <v>3018</v>
      </c>
      <c r="D27" s="73"/>
      <c r="E27" s="73"/>
      <c r="F27" s="73"/>
      <c r="G27" s="74"/>
    </row>
    <row r="28" spans="2:7" ht="27.75" customHeight="1" x14ac:dyDescent="0.25">
      <c r="B28" s="569" t="s">
        <v>682</v>
      </c>
      <c r="C28" s="11">
        <v>3019</v>
      </c>
      <c r="D28" s="73"/>
      <c r="E28" s="73"/>
      <c r="F28" s="73"/>
      <c r="G28" s="74"/>
    </row>
    <row r="29" spans="2:7" ht="20.100000000000001" customHeight="1" x14ac:dyDescent="0.25">
      <c r="B29" s="569" t="s">
        <v>683</v>
      </c>
      <c r="C29" s="11">
        <v>3020</v>
      </c>
      <c r="D29" s="73"/>
      <c r="E29" s="73"/>
      <c r="F29" s="73"/>
      <c r="G29" s="74"/>
    </row>
    <row r="30" spans="2:7" ht="20.100000000000001" customHeight="1" x14ac:dyDescent="0.25">
      <c r="B30" s="569" t="s">
        <v>684</v>
      </c>
      <c r="C30" s="11">
        <v>3021</v>
      </c>
      <c r="D30" s="73"/>
      <c r="E30" s="73"/>
      <c r="F30" s="73"/>
      <c r="G30" s="74"/>
    </row>
    <row r="31" spans="2:7" ht="20.100000000000001" customHeight="1" x14ac:dyDescent="0.25">
      <c r="B31" s="569" t="s">
        <v>32</v>
      </c>
      <c r="C31" s="11">
        <v>3022</v>
      </c>
      <c r="D31" s="73"/>
      <c r="E31" s="73"/>
      <c r="F31" s="73"/>
      <c r="G31" s="74"/>
    </row>
    <row r="32" spans="2:7" ht="20.100000000000001" customHeight="1" x14ac:dyDescent="0.25">
      <c r="B32" s="568" t="s">
        <v>133</v>
      </c>
      <c r="C32" s="307">
        <v>3023</v>
      </c>
      <c r="D32" s="308">
        <f>SUM(D33:D35)</f>
        <v>88</v>
      </c>
      <c r="E32" s="308">
        <f>SUM(E33:E35)</f>
        <v>175</v>
      </c>
      <c r="F32" s="308">
        <f>SUM(F33:F35)</f>
        <v>263</v>
      </c>
      <c r="G32" s="309">
        <f>SUM(G33:G35)</f>
        <v>350</v>
      </c>
    </row>
    <row r="33" spans="2:7" ht="20.100000000000001" customHeight="1" x14ac:dyDescent="0.25">
      <c r="B33" s="569" t="s">
        <v>685</v>
      </c>
      <c r="C33" s="11">
        <v>3024</v>
      </c>
      <c r="D33" s="73"/>
      <c r="E33" s="73"/>
      <c r="F33" s="73"/>
      <c r="G33" s="74"/>
    </row>
    <row r="34" spans="2:7" ht="34.5" customHeight="1" x14ac:dyDescent="0.25">
      <c r="B34" s="569" t="s">
        <v>686</v>
      </c>
      <c r="C34" s="11">
        <v>3025</v>
      </c>
      <c r="D34" s="73">
        <v>88</v>
      </c>
      <c r="E34" s="73">
        <v>175</v>
      </c>
      <c r="F34" s="73">
        <v>263</v>
      </c>
      <c r="G34" s="74">
        <v>350</v>
      </c>
    </row>
    <row r="35" spans="2:7" ht="20.100000000000001" customHeight="1" x14ac:dyDescent="0.25">
      <c r="B35" s="569" t="s">
        <v>687</v>
      </c>
      <c r="C35" s="11">
        <v>3026</v>
      </c>
      <c r="D35" s="86"/>
      <c r="E35" s="86"/>
      <c r="F35" s="86"/>
      <c r="G35" s="89"/>
    </row>
    <row r="36" spans="2:7" ht="20.100000000000001" customHeight="1" x14ac:dyDescent="0.25">
      <c r="B36" s="569" t="s">
        <v>688</v>
      </c>
      <c r="C36" s="11">
        <v>3027</v>
      </c>
      <c r="D36" s="73"/>
      <c r="E36" s="73"/>
      <c r="F36" s="73"/>
      <c r="G36" s="74"/>
    </row>
    <row r="37" spans="2:7" ht="20.100000000000001" customHeight="1" x14ac:dyDescent="0.25">
      <c r="B37" s="569" t="s">
        <v>689</v>
      </c>
      <c r="C37" s="11">
        <v>3028</v>
      </c>
      <c r="D37" s="73">
        <f>SUM(D32-D26)</f>
        <v>88</v>
      </c>
      <c r="E37" s="73">
        <f>SUM(E32-E26)</f>
        <v>175</v>
      </c>
      <c r="F37" s="73">
        <f>SUM(F32-F26)</f>
        <v>263</v>
      </c>
      <c r="G37" s="74">
        <f>SUM(G32-G26)</f>
        <v>350</v>
      </c>
    </row>
    <row r="38" spans="2:7" ht="26.25" customHeight="1" x14ac:dyDescent="0.25">
      <c r="B38" s="570" t="s">
        <v>690</v>
      </c>
      <c r="C38" s="11"/>
      <c r="D38" s="73"/>
      <c r="E38" s="73"/>
      <c r="F38" s="73"/>
      <c r="G38" s="74"/>
    </row>
    <row r="39" spans="2:7" ht="20.100000000000001" customHeight="1" x14ac:dyDescent="0.25">
      <c r="B39" s="568" t="s">
        <v>691</v>
      </c>
      <c r="C39" s="307">
        <v>3029</v>
      </c>
      <c r="D39" s="305"/>
      <c r="E39" s="305"/>
      <c r="F39" s="305"/>
      <c r="G39" s="306"/>
    </row>
    <row r="40" spans="2:7" ht="20.100000000000001" customHeight="1" x14ac:dyDescent="0.25">
      <c r="B40" s="569" t="s">
        <v>33</v>
      </c>
      <c r="C40" s="11">
        <v>3030</v>
      </c>
      <c r="D40" s="73"/>
      <c r="E40" s="73"/>
      <c r="F40" s="73"/>
      <c r="G40" s="74"/>
    </row>
    <row r="41" spans="2:7" ht="20.100000000000001" customHeight="1" x14ac:dyDescent="0.25">
      <c r="B41" s="569" t="s">
        <v>692</v>
      </c>
      <c r="C41" s="11">
        <v>3031</v>
      </c>
      <c r="D41" s="73"/>
      <c r="E41" s="73"/>
      <c r="F41" s="73"/>
      <c r="G41" s="74"/>
    </row>
    <row r="42" spans="2:7" ht="20.100000000000001" customHeight="1" x14ac:dyDescent="0.25">
      <c r="B42" s="569" t="s">
        <v>693</v>
      </c>
      <c r="C42" s="11">
        <v>3032</v>
      </c>
      <c r="D42" s="73"/>
      <c r="E42" s="73"/>
      <c r="F42" s="73"/>
      <c r="G42" s="74"/>
    </row>
    <row r="43" spans="2:7" ht="20.100000000000001" customHeight="1" x14ac:dyDescent="0.25">
      <c r="B43" s="569" t="s">
        <v>694</v>
      </c>
      <c r="C43" s="11">
        <v>3033</v>
      </c>
      <c r="D43" s="73"/>
      <c r="E43" s="73"/>
      <c r="F43" s="73"/>
      <c r="G43" s="74"/>
    </row>
    <row r="44" spans="2:7" ht="20.100000000000001" customHeight="1" x14ac:dyDescent="0.25">
      <c r="B44" s="569" t="s">
        <v>695</v>
      </c>
      <c r="C44" s="11">
        <v>3034</v>
      </c>
      <c r="D44" s="73"/>
      <c r="E44" s="73"/>
      <c r="F44" s="73"/>
      <c r="G44" s="74"/>
    </row>
    <row r="45" spans="2:7" ht="20.100000000000001" customHeight="1" x14ac:dyDescent="0.25">
      <c r="B45" s="569" t="s">
        <v>696</v>
      </c>
      <c r="C45" s="11">
        <v>3035</v>
      </c>
      <c r="D45" s="73"/>
      <c r="E45" s="73"/>
      <c r="F45" s="73"/>
      <c r="G45" s="74"/>
    </row>
    <row r="46" spans="2:7" ht="20.100000000000001" customHeight="1" x14ac:dyDescent="0.25">
      <c r="B46" s="569" t="s">
        <v>767</v>
      </c>
      <c r="C46" s="11">
        <v>3036</v>
      </c>
      <c r="D46" s="73"/>
      <c r="E46" s="73"/>
      <c r="F46" s="73"/>
      <c r="G46" s="74"/>
    </row>
    <row r="47" spans="2:7" ht="20.100000000000001" customHeight="1" x14ac:dyDescent="0.25">
      <c r="B47" s="568" t="s">
        <v>697</v>
      </c>
      <c r="C47" s="307">
        <v>3037</v>
      </c>
      <c r="D47" s="305"/>
      <c r="E47" s="305"/>
      <c r="F47" s="305"/>
      <c r="G47" s="306"/>
    </row>
    <row r="48" spans="2:7" ht="20.100000000000001" customHeight="1" x14ac:dyDescent="0.25">
      <c r="B48" s="569" t="s">
        <v>698</v>
      </c>
      <c r="C48" s="11">
        <v>3038</v>
      </c>
      <c r="D48" s="73"/>
      <c r="E48" s="73"/>
      <c r="F48" s="73"/>
      <c r="G48" s="74"/>
    </row>
    <row r="49" spans="2:7" ht="20.100000000000001" customHeight="1" x14ac:dyDescent="0.25">
      <c r="B49" s="569" t="s">
        <v>692</v>
      </c>
      <c r="C49" s="11">
        <v>3039</v>
      </c>
      <c r="D49" s="73"/>
      <c r="E49" s="73"/>
      <c r="F49" s="73"/>
      <c r="G49" s="74"/>
    </row>
    <row r="50" spans="2:7" ht="20.100000000000001" customHeight="1" x14ac:dyDescent="0.25">
      <c r="B50" s="569" t="s">
        <v>693</v>
      </c>
      <c r="C50" s="11">
        <v>3040</v>
      </c>
      <c r="D50" s="73"/>
      <c r="E50" s="73"/>
      <c r="F50" s="73"/>
      <c r="G50" s="74"/>
    </row>
    <row r="51" spans="2:7" ht="20.100000000000001" customHeight="1" x14ac:dyDescent="0.25">
      <c r="B51" s="569" t="s">
        <v>694</v>
      </c>
      <c r="C51" s="11">
        <v>3041</v>
      </c>
      <c r="D51" s="87"/>
      <c r="E51" s="87"/>
      <c r="F51" s="87"/>
      <c r="G51" s="88"/>
    </row>
    <row r="52" spans="2:7" ht="20.100000000000001" customHeight="1" x14ac:dyDescent="0.25">
      <c r="B52" s="569" t="s">
        <v>695</v>
      </c>
      <c r="C52" s="45">
        <v>3042</v>
      </c>
      <c r="D52" s="73"/>
      <c r="E52" s="73"/>
      <c r="F52" s="73"/>
      <c r="G52" s="74"/>
    </row>
    <row r="53" spans="2:7" ht="20.100000000000001" customHeight="1" x14ac:dyDescent="0.25">
      <c r="B53" s="569" t="s">
        <v>699</v>
      </c>
      <c r="C53" s="45">
        <v>3043</v>
      </c>
      <c r="D53" s="73"/>
      <c r="E53" s="73"/>
      <c r="F53" s="73"/>
      <c r="G53" s="74"/>
    </row>
    <row r="54" spans="2:7" ht="20.100000000000001" customHeight="1" x14ac:dyDescent="0.25">
      <c r="B54" s="569" t="s">
        <v>700</v>
      </c>
      <c r="C54" s="45">
        <v>3044</v>
      </c>
      <c r="D54" s="73"/>
      <c r="E54" s="73"/>
      <c r="F54" s="73"/>
      <c r="G54" s="74"/>
    </row>
    <row r="55" spans="2:7" ht="20.100000000000001" customHeight="1" x14ac:dyDescent="0.25">
      <c r="B55" s="569" t="s">
        <v>701</v>
      </c>
      <c r="C55" s="45">
        <v>3045</v>
      </c>
      <c r="D55" s="73"/>
      <c r="E55" s="73"/>
      <c r="F55" s="73"/>
      <c r="G55" s="74"/>
    </row>
    <row r="56" spans="2:7" ht="20.100000000000001" customHeight="1" x14ac:dyDescent="0.25">
      <c r="B56" s="569" t="s">
        <v>702</v>
      </c>
      <c r="C56" s="45">
        <v>3046</v>
      </c>
      <c r="D56" s="73"/>
      <c r="E56" s="73"/>
      <c r="F56" s="73"/>
      <c r="G56" s="74"/>
    </row>
    <row r="57" spans="2:7" ht="20.100000000000001" customHeight="1" x14ac:dyDescent="0.25">
      <c r="B57" s="569" t="s">
        <v>703</v>
      </c>
      <c r="C57" s="45">
        <v>3047</v>
      </c>
      <c r="D57" s="72"/>
      <c r="E57" s="72"/>
      <c r="F57" s="72"/>
      <c r="G57" s="91"/>
    </row>
    <row r="58" spans="2:7" ht="20.100000000000001" customHeight="1" x14ac:dyDescent="0.25">
      <c r="B58" s="570" t="s">
        <v>704</v>
      </c>
      <c r="C58" s="45">
        <v>3048</v>
      </c>
      <c r="D58" s="72">
        <f>SUM(D9,D26,D39)</f>
        <v>90348</v>
      </c>
      <c r="E58" s="72">
        <f>SUM(E9,E26,E39)</f>
        <v>285029</v>
      </c>
      <c r="F58" s="72">
        <f>SUM(F9,F26,F39)</f>
        <v>407779</v>
      </c>
      <c r="G58" s="91">
        <f>SUM(G9,G26,G39)</f>
        <v>498569</v>
      </c>
    </row>
    <row r="59" spans="2:7" ht="20.100000000000001" customHeight="1" x14ac:dyDescent="0.25">
      <c r="B59" s="570" t="s">
        <v>705</v>
      </c>
      <c r="C59" s="45">
        <v>3049</v>
      </c>
      <c r="D59" s="72">
        <f>SUM(D14,D32,D47)</f>
        <v>90348</v>
      </c>
      <c r="E59" s="72">
        <f>SUM(E14,E32,E47)</f>
        <v>285029</v>
      </c>
      <c r="F59" s="72">
        <f>SUM(F14,F32,F47)</f>
        <v>407779</v>
      </c>
      <c r="G59" s="91">
        <f>SUM(G14,G32,G47)</f>
        <v>498569</v>
      </c>
    </row>
    <row r="60" spans="2:7" ht="20.100000000000001" customHeight="1" x14ac:dyDescent="0.25">
      <c r="B60" s="568" t="s">
        <v>706</v>
      </c>
      <c r="C60" s="310">
        <v>3050</v>
      </c>
      <c r="D60" s="311">
        <f>SUM(D58-D59)</f>
        <v>0</v>
      </c>
      <c r="E60" s="311">
        <f>SUM(E58-E59)</f>
        <v>0</v>
      </c>
      <c r="F60" s="311">
        <f>SUM(F58-F59)</f>
        <v>0</v>
      </c>
      <c r="G60" s="312">
        <f>SUM(G58-G59)</f>
        <v>0</v>
      </c>
    </row>
    <row r="61" spans="2:7" ht="20.100000000000001" customHeight="1" x14ac:dyDescent="0.25">
      <c r="B61" s="568" t="s">
        <v>707</v>
      </c>
      <c r="C61" s="310">
        <v>3051</v>
      </c>
      <c r="D61" s="311"/>
      <c r="E61" s="311"/>
      <c r="F61" s="311"/>
      <c r="G61" s="312"/>
    </row>
    <row r="62" spans="2:7" ht="20.100000000000001" customHeight="1" x14ac:dyDescent="0.25">
      <c r="B62" s="568" t="s">
        <v>708</v>
      </c>
      <c r="C62" s="310">
        <v>3052</v>
      </c>
      <c r="D62" s="311">
        <v>1874</v>
      </c>
      <c r="E62" s="311">
        <v>1874</v>
      </c>
      <c r="F62" s="311">
        <v>1874</v>
      </c>
      <c r="G62" s="312">
        <v>1874</v>
      </c>
    </row>
    <row r="63" spans="2:7" ht="24" customHeight="1" x14ac:dyDescent="0.25">
      <c r="B63" s="570" t="s">
        <v>709</v>
      </c>
      <c r="C63" s="45">
        <v>3053</v>
      </c>
      <c r="D63" s="72"/>
      <c r="E63" s="72"/>
      <c r="F63" s="72"/>
      <c r="G63" s="91"/>
    </row>
    <row r="64" spans="2:7" ht="24" customHeight="1" x14ac:dyDescent="0.25">
      <c r="B64" s="570" t="s">
        <v>791</v>
      </c>
      <c r="C64" s="45">
        <v>3054</v>
      </c>
      <c r="D64" s="72"/>
      <c r="E64" s="72"/>
      <c r="F64" s="72"/>
      <c r="G64" s="91"/>
    </row>
    <row r="65" spans="2:7" ht="20.100000000000001" customHeight="1" x14ac:dyDescent="0.25">
      <c r="B65" s="571" t="s">
        <v>710</v>
      </c>
      <c r="C65" s="758">
        <v>3055</v>
      </c>
      <c r="D65" s="754">
        <f>SUM(D60,-D61,D62,D63,-D64)</f>
        <v>1874</v>
      </c>
      <c r="E65" s="754">
        <f>SUM(E60,-E61,E62,E63,-E64)</f>
        <v>1874</v>
      </c>
      <c r="F65" s="754">
        <f>SUM(F60,-F61,F62,F63,-F64)</f>
        <v>1874</v>
      </c>
      <c r="G65" s="756">
        <f>SUM(G60,-G61,G62,G63,-G64)</f>
        <v>1874</v>
      </c>
    </row>
    <row r="66" spans="2:7" ht="13.5" customHeight="1" thickBot="1" x14ac:dyDescent="0.3">
      <c r="B66" s="572" t="s">
        <v>711</v>
      </c>
      <c r="C66" s="759"/>
      <c r="D66" s="755"/>
      <c r="E66" s="755"/>
      <c r="F66" s="755"/>
      <c r="G66" s="757"/>
    </row>
    <row r="67" spans="2:7" x14ac:dyDescent="0.25">
      <c r="B67" s="2"/>
    </row>
    <row r="68" spans="2:7" x14ac:dyDescent="0.25">
      <c r="B68" s="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topLeftCell="A10" zoomScale="85" zoomScaleNormal="85" workbookViewId="0">
      <selection activeCell="E18" sqref="E18:F18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93"/>
      <c r="C1" s="93"/>
      <c r="D1" s="93"/>
      <c r="E1" s="93"/>
      <c r="F1" s="93"/>
      <c r="G1" s="112" t="s">
        <v>361</v>
      </c>
    </row>
    <row r="2" spans="2:10" ht="15.75" x14ac:dyDescent="0.25">
      <c r="B2" s="93"/>
      <c r="C2" s="93"/>
      <c r="D2" s="93"/>
      <c r="E2" s="93"/>
      <c r="F2" s="93"/>
    </row>
    <row r="5" spans="2:10" ht="22.5" customHeight="1" x14ac:dyDescent="0.3">
      <c r="B5" s="765" t="s">
        <v>223</v>
      </c>
      <c r="C5" s="765"/>
      <c r="D5" s="765"/>
      <c r="E5" s="765"/>
      <c r="F5" s="765"/>
      <c r="G5" s="765"/>
      <c r="H5" s="93"/>
      <c r="I5" s="93"/>
    </row>
    <row r="6" spans="2:10" ht="15.75" x14ac:dyDescent="0.25">
      <c r="G6" s="58"/>
      <c r="H6" s="58"/>
      <c r="I6" s="58"/>
    </row>
    <row r="7" spans="2:10" ht="15.75" thickBot="1" x14ac:dyDescent="0.25">
      <c r="G7" s="92" t="s">
        <v>46</v>
      </c>
    </row>
    <row r="8" spans="2:10" s="94" customFormat="1" ht="18" customHeight="1" x14ac:dyDescent="0.25">
      <c r="B8" s="766" t="s">
        <v>831</v>
      </c>
      <c r="C8" s="767"/>
      <c r="D8" s="767"/>
      <c r="E8" s="767"/>
      <c r="F8" s="767"/>
      <c r="G8" s="768"/>
      <c r="J8" s="95"/>
    </row>
    <row r="9" spans="2:10" s="94" customFormat="1" ht="21.75" customHeight="1" thickBot="1" x14ac:dyDescent="0.3">
      <c r="B9" s="769"/>
      <c r="C9" s="770"/>
      <c r="D9" s="770"/>
      <c r="E9" s="770"/>
      <c r="F9" s="770"/>
      <c r="G9" s="771"/>
    </row>
    <row r="10" spans="2:10" s="94" customFormat="1" ht="60.75" customHeight="1" x14ac:dyDescent="0.25">
      <c r="B10" s="293" t="s">
        <v>224</v>
      </c>
      <c r="C10" s="297" t="s">
        <v>24</v>
      </c>
      <c r="D10" s="297" t="s">
        <v>225</v>
      </c>
      <c r="E10" s="297" t="s">
        <v>392</v>
      </c>
      <c r="F10" s="297" t="s">
        <v>226</v>
      </c>
      <c r="G10" s="298" t="s">
        <v>391</v>
      </c>
    </row>
    <row r="11" spans="2:10" s="94" customFormat="1" ht="17.25" customHeight="1" thickBot="1" x14ac:dyDescent="0.3">
      <c r="B11" s="96"/>
      <c r="C11" s="111">
        <v>1</v>
      </c>
      <c r="D11" s="111">
        <v>2</v>
      </c>
      <c r="E11" s="111">
        <v>3</v>
      </c>
      <c r="F11" s="111" t="s">
        <v>227</v>
      </c>
      <c r="G11" s="97">
        <v>5</v>
      </c>
    </row>
    <row r="12" spans="2:10" s="94" customFormat="1" ht="33" customHeight="1" x14ac:dyDescent="0.25">
      <c r="B12" s="98" t="s">
        <v>228</v>
      </c>
      <c r="C12" s="82">
        <v>101000000</v>
      </c>
      <c r="D12" s="82">
        <v>45730063.030000001</v>
      </c>
      <c r="E12" s="82">
        <v>45730063.030000001</v>
      </c>
      <c r="F12" s="82">
        <f>SUM(D12-E12)</f>
        <v>0</v>
      </c>
      <c r="G12" s="99"/>
    </row>
    <row r="13" spans="2:10" s="94" customFormat="1" ht="33" customHeight="1" x14ac:dyDescent="0.25">
      <c r="B13" s="100" t="s">
        <v>229</v>
      </c>
      <c r="C13" s="68">
        <v>1029346777</v>
      </c>
      <c r="D13" s="68">
        <v>211407051.00999999</v>
      </c>
      <c r="E13" s="68">
        <v>211407051.00999999</v>
      </c>
      <c r="F13" s="82">
        <f>SUM(D13-E13)</f>
        <v>0</v>
      </c>
      <c r="G13" s="101"/>
    </row>
    <row r="14" spans="2:10" s="94" customFormat="1" ht="33" customHeight="1" thickBot="1" x14ac:dyDescent="0.3">
      <c r="B14" s="102" t="s">
        <v>21</v>
      </c>
      <c r="C14" s="70">
        <f>SUM(C12:C13)</f>
        <v>1130346777</v>
      </c>
      <c r="D14" s="70">
        <f>SUM(D12:D13)</f>
        <v>257137114.03999999</v>
      </c>
      <c r="E14" s="70">
        <f>SUM(E12:E13)</f>
        <v>257137114.03999999</v>
      </c>
      <c r="F14" s="70">
        <f>SUM(F12:F13)</f>
        <v>0</v>
      </c>
      <c r="G14" s="103"/>
    </row>
    <row r="15" spans="2:10" s="94" customFormat="1" ht="42.75" customHeight="1" thickBot="1" x14ac:dyDescent="0.3">
      <c r="B15" s="104"/>
      <c r="C15" s="105"/>
      <c r="D15" s="2"/>
      <c r="E15" s="106"/>
      <c r="F15" s="107" t="s">
        <v>46</v>
      </c>
      <c r="G15" s="107"/>
    </row>
    <row r="16" spans="2:10" s="94" customFormat="1" ht="33" customHeight="1" x14ac:dyDescent="0.25">
      <c r="B16" s="772" t="s">
        <v>832</v>
      </c>
      <c r="C16" s="773"/>
      <c r="D16" s="773"/>
      <c r="E16" s="773"/>
      <c r="F16" s="774"/>
      <c r="G16" s="51"/>
    </row>
    <row r="17" spans="2:7" s="94" customFormat="1" ht="18.75" thickBot="1" x14ac:dyDescent="0.3">
      <c r="B17" s="294"/>
      <c r="C17" s="295" t="s">
        <v>230</v>
      </c>
      <c r="D17" s="295" t="s">
        <v>231</v>
      </c>
      <c r="E17" s="295" t="s">
        <v>232</v>
      </c>
      <c r="F17" s="296" t="s">
        <v>233</v>
      </c>
      <c r="G17" s="108"/>
    </row>
    <row r="18" spans="2:7" s="94" customFormat="1" ht="33" customHeight="1" x14ac:dyDescent="0.25">
      <c r="B18" s="98" t="s">
        <v>228</v>
      </c>
      <c r="C18" s="82">
        <v>24717000</v>
      </c>
      <c r="D18" s="82">
        <v>49434000</v>
      </c>
      <c r="E18" s="972">
        <v>63151000</v>
      </c>
      <c r="F18" s="973">
        <v>76558000</v>
      </c>
      <c r="G18" s="4"/>
    </row>
    <row r="19" spans="2:7" ht="33" customHeight="1" x14ac:dyDescent="0.2">
      <c r="B19" s="109" t="s">
        <v>229</v>
      </c>
      <c r="C19" s="68">
        <v>65542500</v>
      </c>
      <c r="D19" s="68">
        <f>SUM(207205000,666666,9666666,10000000,7881200)</f>
        <v>235419532</v>
      </c>
      <c r="E19" s="83">
        <f>SUM(295817500,1333333,19333333,20000000,7881200)</f>
        <v>344365366</v>
      </c>
      <c r="F19" s="69">
        <f>SUM(319930000,2000000,29000000,20000000,7881200,43200000)</f>
        <v>422011200</v>
      </c>
    </row>
    <row r="20" spans="2:7" ht="33" customHeight="1" thickBot="1" x14ac:dyDescent="0.25">
      <c r="B20" s="102" t="s">
        <v>21</v>
      </c>
      <c r="C20" s="70">
        <f>SUM(C18:C19)</f>
        <v>90259500</v>
      </c>
      <c r="D20" s="70">
        <f>SUM(D18:D19)</f>
        <v>284853532</v>
      </c>
      <c r="E20" s="70">
        <f>SUM(E18:E19)</f>
        <v>407516366</v>
      </c>
      <c r="F20" s="70">
        <f>SUM(F18:F19)</f>
        <v>498569200</v>
      </c>
    </row>
    <row r="21" spans="2:7" ht="33" customHeight="1" x14ac:dyDescent="0.2">
      <c r="G21" s="92"/>
    </row>
    <row r="22" spans="2:7" ht="18.75" customHeight="1" x14ac:dyDescent="0.2">
      <c r="B22" s="764" t="s">
        <v>879</v>
      </c>
      <c r="C22" s="764"/>
      <c r="D22" s="764"/>
      <c r="E22" s="764"/>
      <c r="F22" s="764"/>
      <c r="G22" s="764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S60"/>
  <sheetViews>
    <sheetView showGridLines="0" zoomScale="70" zoomScaleNormal="70" workbookViewId="0">
      <selection activeCell="F8" sqref="F8:I38"/>
    </sheetView>
  </sheetViews>
  <sheetFormatPr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1.28515625" style="4" customWidth="1"/>
    <col min="13" max="13" width="12.42578125" style="4" customWidth="1"/>
    <col min="14" max="14" width="14.425781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12" t="s">
        <v>360</v>
      </c>
    </row>
    <row r="3" spans="2:19" ht="18" x14ac:dyDescent="0.25">
      <c r="B3" s="781" t="s">
        <v>45</v>
      </c>
      <c r="C3" s="781"/>
      <c r="D3" s="781"/>
      <c r="E3" s="781"/>
      <c r="F3" s="781"/>
      <c r="G3" s="781"/>
      <c r="H3" s="781"/>
      <c r="I3" s="781"/>
    </row>
    <row r="4" spans="2:19" ht="16.5" thickBot="1" x14ac:dyDescent="0.3">
      <c r="C4" s="93"/>
      <c r="D4" s="93"/>
      <c r="E4" s="93"/>
      <c r="F4" s="93"/>
      <c r="G4" s="93"/>
      <c r="H4" s="93"/>
      <c r="I4" s="92" t="s">
        <v>46</v>
      </c>
    </row>
    <row r="5" spans="2:19" ht="25.5" customHeight="1" x14ac:dyDescent="0.2">
      <c r="B5" s="786" t="s">
        <v>256</v>
      </c>
      <c r="C5" s="792" t="s">
        <v>48</v>
      </c>
      <c r="D5" s="790" t="s">
        <v>833</v>
      </c>
      <c r="E5" s="784" t="s">
        <v>834</v>
      </c>
      <c r="F5" s="782" t="s">
        <v>835</v>
      </c>
      <c r="G5" s="776" t="s">
        <v>824</v>
      </c>
      <c r="H5" s="776" t="s">
        <v>825</v>
      </c>
      <c r="I5" s="778" t="s">
        <v>830</v>
      </c>
      <c r="J5" s="780"/>
      <c r="K5" s="2"/>
      <c r="L5" s="780"/>
      <c r="M5" s="775"/>
      <c r="N5" s="780"/>
      <c r="O5" s="775"/>
      <c r="P5" s="780"/>
      <c r="Q5" s="775"/>
      <c r="R5" s="775"/>
      <c r="S5" s="775"/>
    </row>
    <row r="6" spans="2:19" ht="36.75" customHeight="1" thickBot="1" x14ac:dyDescent="0.25">
      <c r="B6" s="787"/>
      <c r="C6" s="793"/>
      <c r="D6" s="791"/>
      <c r="E6" s="785"/>
      <c r="F6" s="783"/>
      <c r="G6" s="777"/>
      <c r="H6" s="777"/>
      <c r="I6" s="779"/>
      <c r="J6" s="780"/>
      <c r="K6" s="128"/>
      <c r="L6" s="780"/>
      <c r="M6" s="780"/>
      <c r="N6" s="780"/>
      <c r="O6" s="775"/>
      <c r="P6" s="780"/>
      <c r="Q6" s="775"/>
      <c r="R6" s="775"/>
      <c r="S6" s="775"/>
    </row>
    <row r="7" spans="2:19" ht="36" customHeight="1" x14ac:dyDescent="0.2">
      <c r="B7" s="113" t="s">
        <v>84</v>
      </c>
      <c r="C7" s="114" t="s">
        <v>115</v>
      </c>
      <c r="D7" s="115">
        <v>20932584</v>
      </c>
      <c r="E7" s="116">
        <v>15607715</v>
      </c>
      <c r="F7" s="115">
        <f>SUM(4369277)</f>
        <v>4369277</v>
      </c>
      <c r="G7" s="115">
        <f>SUM(4369277,4369277)</f>
        <v>8738554</v>
      </c>
      <c r="H7" s="115">
        <f>SUM(4369277,4369277,4369277)</f>
        <v>13107831</v>
      </c>
      <c r="I7" s="597">
        <f>SUM(4369277,4369277,4369277,4369276)</f>
        <v>17477107</v>
      </c>
    </row>
    <row r="8" spans="2:19" ht="36" customHeight="1" x14ac:dyDescent="0.2">
      <c r="B8" s="118" t="s">
        <v>85</v>
      </c>
      <c r="C8" s="119" t="s">
        <v>116</v>
      </c>
      <c r="D8" s="120">
        <v>29133500</v>
      </c>
      <c r="E8" s="121">
        <v>21708579.57</v>
      </c>
      <c r="F8" s="974">
        <f>SUM(6062625)</f>
        <v>6062625</v>
      </c>
      <c r="G8" s="974">
        <f>SUM(6062625,6062625)</f>
        <v>12125250</v>
      </c>
      <c r="H8" s="974">
        <f>SUM(6062625,6062625,6062625)</f>
        <v>18187875</v>
      </c>
      <c r="I8" s="975">
        <f>SUM(6062625,6062625,6062625,6062625)</f>
        <v>24250500</v>
      </c>
    </row>
    <row r="9" spans="2:19" ht="36" customHeight="1" x14ac:dyDescent="0.2">
      <c r="B9" s="118" t="s">
        <v>86</v>
      </c>
      <c r="C9" s="119" t="s">
        <v>117</v>
      </c>
      <c r="D9" s="120">
        <v>33547300</v>
      </c>
      <c r="E9" s="121">
        <v>24997429.489999998</v>
      </c>
      <c r="F9" s="974">
        <f>SUM(6981125)</f>
        <v>6981125</v>
      </c>
      <c r="G9" s="974">
        <f>SUM(6981125,6981125)</f>
        <v>13962250</v>
      </c>
      <c r="H9" s="974">
        <f>SUM(6981125,6981125,6981125)</f>
        <v>20943375</v>
      </c>
      <c r="I9" s="975">
        <f>SUM(6981125,6981125,6981125,6981125)</f>
        <v>27924500</v>
      </c>
    </row>
    <row r="10" spans="2:19" ht="36" customHeight="1" x14ac:dyDescent="0.2">
      <c r="B10" s="118" t="s">
        <v>87</v>
      </c>
      <c r="C10" s="119" t="s">
        <v>118</v>
      </c>
      <c r="D10" s="120">
        <f t="shared" ref="D10:I10" si="0">SUM(D11:D12)</f>
        <v>17</v>
      </c>
      <c r="E10" s="121">
        <f t="shared" si="0"/>
        <v>11</v>
      </c>
      <c r="F10" s="974">
        <f t="shared" si="0"/>
        <v>12</v>
      </c>
      <c r="G10" s="974">
        <f t="shared" si="0"/>
        <v>12</v>
      </c>
      <c r="H10" s="974">
        <f t="shared" si="0"/>
        <v>12</v>
      </c>
      <c r="I10" s="976">
        <f t="shared" si="0"/>
        <v>12</v>
      </c>
    </row>
    <row r="11" spans="2:19" ht="36" customHeight="1" x14ac:dyDescent="0.2">
      <c r="B11" s="118" t="s">
        <v>119</v>
      </c>
      <c r="C11" s="123" t="s">
        <v>120</v>
      </c>
      <c r="D11" s="120">
        <v>15</v>
      </c>
      <c r="E11" s="121">
        <v>9</v>
      </c>
      <c r="F11" s="974">
        <v>10</v>
      </c>
      <c r="G11" s="974">
        <v>10</v>
      </c>
      <c r="H11" s="974">
        <v>10</v>
      </c>
      <c r="I11" s="975">
        <v>10</v>
      </c>
    </row>
    <row r="12" spans="2:19" ht="36" customHeight="1" x14ac:dyDescent="0.2">
      <c r="B12" s="118" t="s">
        <v>121</v>
      </c>
      <c r="C12" s="123" t="s">
        <v>122</v>
      </c>
      <c r="D12" s="120">
        <v>2</v>
      </c>
      <c r="E12" s="121">
        <v>2</v>
      </c>
      <c r="F12" s="974">
        <v>2</v>
      </c>
      <c r="G12" s="974">
        <v>2</v>
      </c>
      <c r="H12" s="974">
        <v>2</v>
      </c>
      <c r="I12" s="975">
        <v>2</v>
      </c>
    </row>
    <row r="13" spans="2:19" ht="36" customHeight="1" x14ac:dyDescent="0.2">
      <c r="B13" s="118" t="s">
        <v>76</v>
      </c>
      <c r="C13" s="124" t="s">
        <v>51</v>
      </c>
      <c r="D13" s="120">
        <v>491250</v>
      </c>
      <c r="E13" s="121">
        <v>372160.5</v>
      </c>
      <c r="F13" s="974">
        <v>568742</v>
      </c>
      <c r="G13" s="974">
        <v>1137485</v>
      </c>
      <c r="H13" s="974">
        <v>1706227</v>
      </c>
      <c r="I13" s="975">
        <v>2274970</v>
      </c>
    </row>
    <row r="14" spans="2:19" ht="36" customHeight="1" x14ac:dyDescent="0.2">
      <c r="B14" s="118" t="s">
        <v>77</v>
      </c>
      <c r="C14" s="124" t="s">
        <v>222</v>
      </c>
      <c r="D14" s="120">
        <v>1</v>
      </c>
      <c r="E14" s="121">
        <v>2</v>
      </c>
      <c r="F14" s="974">
        <v>2</v>
      </c>
      <c r="G14" s="974">
        <v>2</v>
      </c>
      <c r="H14" s="974">
        <v>2</v>
      </c>
      <c r="I14" s="975">
        <v>2</v>
      </c>
    </row>
    <row r="15" spans="2:19" ht="36" customHeight="1" x14ac:dyDescent="0.2">
      <c r="B15" s="118" t="s">
        <v>78</v>
      </c>
      <c r="C15" s="124" t="s">
        <v>52</v>
      </c>
      <c r="D15" s="120"/>
      <c r="E15" s="121"/>
      <c r="F15" s="974"/>
      <c r="G15" s="977"/>
      <c r="H15" s="977"/>
      <c r="I15" s="976"/>
    </row>
    <row r="16" spans="2:19" ht="36" customHeight="1" x14ac:dyDescent="0.2">
      <c r="B16" s="118" t="s">
        <v>123</v>
      </c>
      <c r="C16" s="124" t="s">
        <v>235</v>
      </c>
      <c r="D16" s="120"/>
      <c r="E16" s="121"/>
      <c r="F16" s="974"/>
      <c r="G16" s="977"/>
      <c r="H16" s="977"/>
      <c r="I16" s="976"/>
    </row>
    <row r="17" spans="2:9" ht="36" customHeight="1" x14ac:dyDescent="0.2">
      <c r="B17" s="118" t="s">
        <v>79</v>
      </c>
      <c r="C17" s="119" t="s">
        <v>53</v>
      </c>
      <c r="D17" s="120"/>
      <c r="E17" s="121"/>
      <c r="F17" s="974"/>
      <c r="G17" s="977"/>
      <c r="H17" s="977"/>
      <c r="I17" s="976"/>
    </row>
    <row r="18" spans="2:9" ht="36" customHeight="1" x14ac:dyDescent="0.2">
      <c r="B18" s="118" t="s">
        <v>80</v>
      </c>
      <c r="C18" s="125" t="s">
        <v>221</v>
      </c>
      <c r="D18" s="120"/>
      <c r="E18" s="121"/>
      <c r="F18" s="974"/>
      <c r="G18" s="977"/>
      <c r="H18" s="977"/>
      <c r="I18" s="976"/>
    </row>
    <row r="19" spans="2:9" ht="36" customHeight="1" x14ac:dyDescent="0.2">
      <c r="B19" s="118" t="s">
        <v>81</v>
      </c>
      <c r="C19" s="119" t="s">
        <v>54</v>
      </c>
      <c r="D19" s="120"/>
      <c r="E19" s="121"/>
      <c r="F19" s="974"/>
      <c r="G19" s="977"/>
      <c r="H19" s="977"/>
      <c r="I19" s="976"/>
    </row>
    <row r="20" spans="2:9" ht="36" customHeight="1" x14ac:dyDescent="0.2">
      <c r="B20" s="118" t="s">
        <v>82</v>
      </c>
      <c r="C20" s="124" t="s">
        <v>234</v>
      </c>
      <c r="D20" s="120"/>
      <c r="E20" s="121"/>
      <c r="F20" s="974"/>
      <c r="G20" s="977"/>
      <c r="H20" s="977"/>
      <c r="I20" s="976"/>
    </row>
    <row r="21" spans="2:9" ht="36" customHeight="1" x14ac:dyDescent="0.2">
      <c r="B21" s="118" t="s">
        <v>110</v>
      </c>
      <c r="C21" s="119" t="s">
        <v>93</v>
      </c>
      <c r="D21" s="120"/>
      <c r="E21" s="121"/>
      <c r="F21" s="974"/>
      <c r="G21" s="977"/>
      <c r="H21" s="977"/>
      <c r="I21" s="976"/>
    </row>
    <row r="22" spans="2:9" ht="36" customHeight="1" x14ac:dyDescent="0.2">
      <c r="B22" s="118" t="s">
        <v>38</v>
      </c>
      <c r="C22" s="119" t="s">
        <v>237</v>
      </c>
      <c r="D22" s="120"/>
      <c r="E22" s="121"/>
      <c r="F22" s="974"/>
      <c r="G22" s="977"/>
      <c r="H22" s="977"/>
      <c r="I22" s="976"/>
    </row>
    <row r="23" spans="2:9" ht="36" customHeight="1" x14ac:dyDescent="0.2">
      <c r="B23" s="118" t="s">
        <v>111</v>
      </c>
      <c r="C23" s="119" t="s">
        <v>343</v>
      </c>
      <c r="D23" s="120">
        <v>1471450</v>
      </c>
      <c r="E23" s="121">
        <v>1297246.8</v>
      </c>
      <c r="F23" s="974">
        <v>324120</v>
      </c>
      <c r="G23" s="974">
        <v>648240</v>
      </c>
      <c r="H23" s="974">
        <v>972360</v>
      </c>
      <c r="I23" s="975">
        <v>1296480</v>
      </c>
    </row>
    <row r="24" spans="2:9" ht="36" customHeight="1" x14ac:dyDescent="0.2">
      <c r="B24" s="118" t="s">
        <v>124</v>
      </c>
      <c r="C24" s="119" t="s">
        <v>342</v>
      </c>
      <c r="D24" s="120">
        <v>3</v>
      </c>
      <c r="E24" s="121">
        <v>3</v>
      </c>
      <c r="F24" s="974">
        <v>3</v>
      </c>
      <c r="G24" s="974">
        <v>3</v>
      </c>
      <c r="H24" s="974">
        <v>3</v>
      </c>
      <c r="I24" s="975">
        <v>3</v>
      </c>
    </row>
    <row r="25" spans="2:9" ht="36" customHeight="1" x14ac:dyDescent="0.2">
      <c r="B25" s="118" t="s">
        <v>125</v>
      </c>
      <c r="C25" s="119" t="s">
        <v>201</v>
      </c>
      <c r="D25" s="120"/>
      <c r="E25" s="121"/>
      <c r="F25" s="974"/>
      <c r="G25" s="977"/>
      <c r="H25" s="977"/>
      <c r="I25" s="976"/>
    </row>
    <row r="26" spans="2:9" ht="36" customHeight="1" x14ac:dyDescent="0.2">
      <c r="B26" s="118" t="s">
        <v>126</v>
      </c>
      <c r="C26" s="119" t="s">
        <v>236</v>
      </c>
      <c r="D26" s="120"/>
      <c r="E26" s="121"/>
      <c r="F26" s="974"/>
      <c r="G26" s="977"/>
      <c r="H26" s="977"/>
      <c r="I26" s="976"/>
    </row>
    <row r="27" spans="2:9" ht="36" customHeight="1" x14ac:dyDescent="0.2">
      <c r="B27" s="118" t="s">
        <v>127</v>
      </c>
      <c r="C27" s="119" t="s">
        <v>55</v>
      </c>
      <c r="D27" s="120">
        <v>400000</v>
      </c>
      <c r="E27" s="121">
        <v>219000</v>
      </c>
      <c r="F27" s="974"/>
      <c r="G27" s="977"/>
      <c r="H27" s="977"/>
      <c r="I27" s="976"/>
    </row>
    <row r="28" spans="2:9" ht="36" customHeight="1" x14ac:dyDescent="0.2">
      <c r="B28" s="118" t="s">
        <v>128</v>
      </c>
      <c r="C28" s="119" t="s">
        <v>41</v>
      </c>
      <c r="D28" s="120"/>
      <c r="E28" s="121"/>
      <c r="F28" s="974"/>
      <c r="G28" s="977"/>
      <c r="H28" s="977"/>
      <c r="I28" s="976"/>
    </row>
    <row r="29" spans="2:9" ht="36" customHeight="1" x14ac:dyDescent="0.2">
      <c r="B29" s="118" t="s">
        <v>112</v>
      </c>
      <c r="C29" s="126" t="s">
        <v>42</v>
      </c>
      <c r="D29" s="120"/>
      <c r="E29" s="121"/>
      <c r="F29" s="974"/>
      <c r="G29" s="977"/>
      <c r="H29" s="977"/>
      <c r="I29" s="976"/>
    </row>
    <row r="30" spans="2:9" ht="36" customHeight="1" x14ac:dyDescent="0.2">
      <c r="B30" s="118" t="s">
        <v>113</v>
      </c>
      <c r="C30" s="119" t="s">
        <v>56</v>
      </c>
      <c r="D30" s="120">
        <v>440000</v>
      </c>
      <c r="E30" s="121">
        <v>429942.5</v>
      </c>
      <c r="F30" s="974"/>
      <c r="G30" s="977"/>
      <c r="H30" s="977"/>
      <c r="I30" s="976"/>
    </row>
    <row r="31" spans="2:9" ht="36" customHeight="1" x14ac:dyDescent="0.2">
      <c r="B31" s="118" t="s">
        <v>200</v>
      </c>
      <c r="C31" s="119" t="s">
        <v>382</v>
      </c>
      <c r="D31" s="120">
        <v>1</v>
      </c>
      <c r="E31" s="121">
        <v>1</v>
      </c>
      <c r="F31" s="974"/>
      <c r="G31" s="974"/>
      <c r="H31" s="974"/>
      <c r="I31" s="975"/>
    </row>
    <row r="32" spans="2:9" ht="36" customHeight="1" x14ac:dyDescent="0.2">
      <c r="B32" s="118" t="s">
        <v>39</v>
      </c>
      <c r="C32" s="119" t="s">
        <v>57</v>
      </c>
      <c r="D32" s="120">
        <v>360000</v>
      </c>
      <c r="E32" s="121">
        <v>313348.65999999997</v>
      </c>
      <c r="F32" s="974"/>
      <c r="G32" s="974"/>
      <c r="H32" s="974"/>
      <c r="I32" s="975"/>
    </row>
    <row r="33" spans="2:9" ht="36" customHeight="1" x14ac:dyDescent="0.2">
      <c r="B33" s="118" t="s">
        <v>129</v>
      </c>
      <c r="C33" s="119" t="s">
        <v>395</v>
      </c>
      <c r="D33" s="120">
        <v>2</v>
      </c>
      <c r="E33" s="121">
        <v>2</v>
      </c>
      <c r="F33" s="974"/>
      <c r="G33" s="974"/>
      <c r="H33" s="974"/>
      <c r="I33" s="975"/>
    </row>
    <row r="34" spans="2:9" ht="36" customHeight="1" x14ac:dyDescent="0.2">
      <c r="B34" s="118" t="s">
        <v>130</v>
      </c>
      <c r="C34" s="119" t="s">
        <v>58</v>
      </c>
      <c r="D34" s="120"/>
      <c r="E34" s="121"/>
      <c r="F34" s="974"/>
      <c r="G34" s="977"/>
      <c r="H34" s="977"/>
      <c r="I34" s="976"/>
    </row>
    <row r="35" spans="2:9" ht="36" customHeight="1" x14ac:dyDescent="0.2">
      <c r="B35" s="118" t="s">
        <v>114</v>
      </c>
      <c r="C35" s="119" t="s">
        <v>59</v>
      </c>
      <c r="D35" s="120">
        <v>800000</v>
      </c>
      <c r="E35" s="121">
        <v>795583.14</v>
      </c>
      <c r="F35" s="974">
        <v>200000</v>
      </c>
      <c r="G35" s="977">
        <v>400000</v>
      </c>
      <c r="H35" s="977">
        <v>600000</v>
      </c>
      <c r="I35" s="976">
        <v>800000</v>
      </c>
    </row>
    <row r="36" spans="2:9" ht="36" customHeight="1" x14ac:dyDescent="0.2">
      <c r="B36" s="118" t="s">
        <v>131</v>
      </c>
      <c r="C36" s="119" t="s">
        <v>60</v>
      </c>
      <c r="D36" s="120"/>
      <c r="E36" s="121"/>
      <c r="F36" s="974"/>
      <c r="G36" s="977"/>
      <c r="H36" s="977"/>
      <c r="I36" s="976"/>
    </row>
    <row r="37" spans="2:9" ht="36" customHeight="1" x14ac:dyDescent="0.2">
      <c r="B37" s="330" t="s">
        <v>383</v>
      </c>
      <c r="C37" s="329" t="s">
        <v>61</v>
      </c>
      <c r="D37" s="326">
        <v>250000</v>
      </c>
      <c r="E37" s="121">
        <v>150000</v>
      </c>
      <c r="F37" s="978">
        <v>37500</v>
      </c>
      <c r="G37" s="977">
        <v>75000</v>
      </c>
      <c r="H37" s="977">
        <v>112500</v>
      </c>
      <c r="I37" s="979">
        <v>150000</v>
      </c>
    </row>
    <row r="38" spans="2:9" s="229" customFormat="1" ht="36" customHeight="1" thickBot="1" x14ac:dyDescent="0.25">
      <c r="B38" s="324" t="s">
        <v>759</v>
      </c>
      <c r="C38" s="325" t="s">
        <v>760</v>
      </c>
      <c r="D38" s="327"/>
      <c r="E38" s="328"/>
      <c r="F38" s="980"/>
      <c r="G38" s="981"/>
      <c r="H38" s="981"/>
      <c r="I38" s="982"/>
    </row>
    <row r="39" spans="2:9" x14ac:dyDescent="0.2">
      <c r="B39" s="106"/>
      <c r="C39" s="127"/>
      <c r="D39" s="127"/>
      <c r="E39" s="127"/>
      <c r="F39" s="127"/>
      <c r="G39" s="127"/>
      <c r="H39" s="127"/>
      <c r="I39" s="127"/>
    </row>
    <row r="40" spans="2:9" ht="19.5" customHeight="1" x14ac:dyDescent="0.2">
      <c r="B40" s="106"/>
      <c r="C40" s="789" t="s">
        <v>238</v>
      </c>
      <c r="D40" s="789"/>
      <c r="E40" s="127"/>
      <c r="F40" s="106"/>
      <c r="G40" s="106"/>
    </row>
    <row r="41" spans="2:9" ht="18.75" customHeight="1" x14ac:dyDescent="0.2">
      <c r="B41" s="106"/>
      <c r="C41" s="788" t="s">
        <v>807</v>
      </c>
      <c r="D41" s="788"/>
      <c r="E41" s="788"/>
      <c r="F41" s="127"/>
      <c r="G41" s="127"/>
      <c r="H41" s="127"/>
      <c r="I41" s="127"/>
    </row>
    <row r="42" spans="2:9" x14ac:dyDescent="0.2">
      <c r="B42" s="106"/>
      <c r="C42" s="127"/>
      <c r="D42" s="127"/>
      <c r="E42" s="127"/>
      <c r="F42" s="127"/>
      <c r="G42" s="127"/>
      <c r="H42" s="127"/>
      <c r="I42" s="127"/>
    </row>
    <row r="43" spans="2:9" ht="24" customHeight="1" x14ac:dyDescent="0.2"/>
    <row r="44" spans="2:9" x14ac:dyDescent="0.2">
      <c r="B44" s="106"/>
      <c r="C44" s="127"/>
    </row>
    <row r="45" spans="2:9" x14ac:dyDescent="0.2">
      <c r="B45" s="106"/>
    </row>
    <row r="46" spans="2:9" x14ac:dyDescent="0.2">
      <c r="B46" s="106"/>
      <c r="D46" s="127"/>
      <c r="E46" s="127"/>
      <c r="F46" s="127"/>
      <c r="G46" s="127"/>
      <c r="H46" s="127"/>
      <c r="I46" s="127"/>
    </row>
    <row r="47" spans="2:9" x14ac:dyDescent="0.2">
      <c r="B47" s="106"/>
      <c r="D47" s="127"/>
      <c r="E47" s="127"/>
      <c r="F47" s="127"/>
      <c r="G47" s="127"/>
      <c r="H47" s="127"/>
      <c r="I47" s="127"/>
    </row>
    <row r="48" spans="2:9" x14ac:dyDescent="0.2">
      <c r="B48" s="106"/>
      <c r="C48" s="127"/>
      <c r="D48" s="127"/>
      <c r="E48" s="127"/>
      <c r="F48" s="127"/>
      <c r="G48" s="127"/>
      <c r="H48" s="127"/>
      <c r="I48" s="127"/>
    </row>
    <row r="49" spans="2:9" x14ac:dyDescent="0.2">
      <c r="B49" s="106"/>
      <c r="C49" s="127"/>
      <c r="D49" s="127"/>
      <c r="E49" s="127"/>
      <c r="F49" s="127"/>
      <c r="G49" s="127"/>
      <c r="H49" s="127"/>
      <c r="I49" s="127"/>
    </row>
    <row r="50" spans="2:9" x14ac:dyDescent="0.2">
      <c r="B50" s="106"/>
      <c r="C50" s="127"/>
      <c r="D50" s="127"/>
      <c r="E50" s="127"/>
      <c r="F50" s="127"/>
      <c r="G50" s="127"/>
      <c r="H50" s="127"/>
      <c r="I50" s="127"/>
    </row>
    <row r="51" spans="2:9" x14ac:dyDescent="0.2">
      <c r="B51" s="106"/>
      <c r="C51" s="127"/>
      <c r="D51" s="127"/>
      <c r="E51" s="127"/>
      <c r="F51" s="127"/>
      <c r="G51" s="127"/>
      <c r="H51" s="127"/>
      <c r="I51" s="127"/>
    </row>
    <row r="52" spans="2:9" x14ac:dyDescent="0.2">
      <c r="B52" s="106"/>
      <c r="C52" s="127"/>
    </row>
    <row r="53" spans="2:9" x14ac:dyDescent="0.2">
      <c r="B53" s="106"/>
      <c r="C53" s="127"/>
    </row>
    <row r="54" spans="2:9" x14ac:dyDescent="0.2">
      <c r="B54" s="106"/>
    </row>
    <row r="55" spans="2:9" x14ac:dyDescent="0.2">
      <c r="B55" s="106"/>
      <c r="D55" s="127"/>
      <c r="E55" s="127"/>
      <c r="F55" s="127"/>
      <c r="G55" s="127"/>
      <c r="H55" s="127"/>
      <c r="I55" s="127"/>
    </row>
    <row r="56" spans="2:9" x14ac:dyDescent="0.2">
      <c r="B56" s="106"/>
      <c r="D56" s="127"/>
      <c r="E56" s="127"/>
      <c r="F56" s="127"/>
      <c r="G56" s="127"/>
      <c r="H56" s="127"/>
      <c r="I56" s="127"/>
    </row>
    <row r="57" spans="2:9" x14ac:dyDescent="0.2">
      <c r="B57" s="106"/>
      <c r="C57" s="127"/>
      <c r="D57" s="127"/>
      <c r="E57" s="127"/>
      <c r="F57" s="127"/>
      <c r="G57" s="127"/>
      <c r="H57" s="127"/>
      <c r="I57" s="127"/>
    </row>
    <row r="58" spans="2:9" x14ac:dyDescent="0.2">
      <c r="B58" s="106"/>
      <c r="C58" s="127"/>
      <c r="D58" s="127"/>
      <c r="E58" s="127"/>
      <c r="F58" s="127"/>
      <c r="G58" s="127"/>
      <c r="H58" s="127"/>
      <c r="I58" s="127"/>
    </row>
    <row r="59" spans="2:9" x14ac:dyDescent="0.2">
      <c r="B59" s="106"/>
      <c r="C59" s="127"/>
    </row>
    <row r="60" spans="2:9" x14ac:dyDescent="0.2">
      <c r="B60" s="106"/>
      <c r="C60" s="127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</sheetPr>
  <dimension ref="B1:H30"/>
  <sheetViews>
    <sheetView showGridLines="0" zoomScale="115" zoomScaleNormal="115" workbookViewId="0">
      <selection activeCell="H23" sqref="H23"/>
    </sheetView>
  </sheetViews>
  <sheetFormatPr defaultRowHeight="12.75" x14ac:dyDescent="0.2"/>
  <cols>
    <col min="1" max="1" width="1.7109375" style="6" customWidth="1"/>
    <col min="2" max="2" width="6.7109375" style="6" customWidth="1"/>
    <col min="3" max="3" width="22.28515625" style="6" customWidth="1"/>
    <col min="4" max="4" width="17.28515625" style="6" customWidth="1"/>
    <col min="5" max="5" width="15.7109375" style="6" customWidth="1"/>
    <col min="6" max="8" width="18.28515625" style="6" customWidth="1"/>
    <col min="9" max="16384" width="9.140625" style="6"/>
  </cols>
  <sheetData>
    <row r="1" spans="2:8" x14ac:dyDescent="0.2">
      <c r="H1" s="39" t="s">
        <v>753</v>
      </c>
    </row>
    <row r="2" spans="2:8" x14ac:dyDescent="0.2">
      <c r="H2" s="39"/>
    </row>
    <row r="3" spans="2:8" ht="18.75" customHeight="1" x14ac:dyDescent="0.2">
      <c r="B3" s="794" t="s">
        <v>836</v>
      </c>
      <c r="C3" s="795"/>
      <c r="D3" s="795"/>
      <c r="E3" s="795"/>
      <c r="F3" s="795"/>
      <c r="G3" s="795"/>
      <c r="H3" s="795"/>
    </row>
    <row r="4" spans="2:8" ht="3.75" customHeight="1" x14ac:dyDescent="0.2">
      <c r="B4" s="795"/>
      <c r="C4" s="795"/>
      <c r="D4" s="795"/>
      <c r="E4" s="795"/>
      <c r="F4" s="795"/>
      <c r="G4" s="795"/>
      <c r="H4" s="795"/>
    </row>
    <row r="5" spans="2:8" ht="13.5" thickBot="1" x14ac:dyDescent="0.25"/>
    <row r="6" spans="2:8" x14ac:dyDescent="0.2">
      <c r="B6" s="798" t="s">
        <v>2</v>
      </c>
      <c r="C6" s="800" t="s">
        <v>393</v>
      </c>
      <c r="D6" s="800" t="s">
        <v>203</v>
      </c>
      <c r="E6" s="800" t="s">
        <v>344</v>
      </c>
      <c r="F6" s="800" t="s">
        <v>204</v>
      </c>
      <c r="G6" s="800" t="s">
        <v>205</v>
      </c>
      <c r="H6" s="800" t="s">
        <v>206</v>
      </c>
    </row>
    <row r="7" spans="2:8" ht="31.5" customHeight="1" thickBot="1" x14ac:dyDescent="0.25">
      <c r="B7" s="799"/>
      <c r="C7" s="801"/>
      <c r="D7" s="801"/>
      <c r="E7" s="801"/>
      <c r="F7" s="801" t="s">
        <v>204</v>
      </c>
      <c r="G7" s="801" t="s">
        <v>205</v>
      </c>
      <c r="H7" s="801" t="s">
        <v>206</v>
      </c>
    </row>
    <row r="8" spans="2:8" ht="16.5" customHeight="1" x14ac:dyDescent="0.2">
      <c r="B8" s="333">
        <v>1</v>
      </c>
      <c r="C8" s="662" t="s">
        <v>932</v>
      </c>
      <c r="D8" s="662">
        <v>6</v>
      </c>
      <c r="E8" s="662">
        <v>7</v>
      </c>
      <c r="F8" s="662">
        <v>2</v>
      </c>
      <c r="G8" s="662">
        <v>2</v>
      </c>
      <c r="H8" s="662">
        <v>0</v>
      </c>
    </row>
    <row r="9" spans="2:8" ht="23.25" customHeight="1" x14ac:dyDescent="0.2">
      <c r="B9" s="334">
        <v>2</v>
      </c>
      <c r="C9" s="663" t="s">
        <v>933</v>
      </c>
      <c r="D9" s="335">
        <v>3</v>
      </c>
      <c r="E9" s="335">
        <v>3</v>
      </c>
      <c r="F9" s="335">
        <v>1</v>
      </c>
      <c r="G9" s="335">
        <v>1</v>
      </c>
      <c r="H9" s="335">
        <v>0</v>
      </c>
    </row>
    <row r="10" spans="2:8" ht="18.75" customHeight="1" x14ac:dyDescent="0.2">
      <c r="B10" s="334">
        <v>3</v>
      </c>
      <c r="C10" s="335" t="s">
        <v>934</v>
      </c>
      <c r="D10" s="335">
        <v>8</v>
      </c>
      <c r="E10" s="335">
        <v>9</v>
      </c>
      <c r="F10" s="335">
        <v>7</v>
      </c>
      <c r="G10" s="335">
        <v>5</v>
      </c>
      <c r="H10" s="335">
        <v>1</v>
      </c>
    </row>
    <row r="11" spans="2:8" ht="15" customHeight="1" x14ac:dyDescent="0.2">
      <c r="B11" s="334">
        <v>4</v>
      </c>
      <c r="C11" s="335" t="s">
        <v>935</v>
      </c>
      <c r="D11" s="335">
        <v>2</v>
      </c>
      <c r="E11" s="335">
        <v>3</v>
      </c>
      <c r="F11" s="335">
        <v>1</v>
      </c>
      <c r="G11" s="335">
        <v>1</v>
      </c>
      <c r="H11" s="335">
        <v>0</v>
      </c>
    </row>
    <row r="12" spans="2:8" ht="15" customHeight="1" x14ac:dyDescent="0.2">
      <c r="B12" s="334">
        <v>5</v>
      </c>
      <c r="C12" s="335" t="s">
        <v>400</v>
      </c>
      <c r="D12" s="335">
        <v>2</v>
      </c>
      <c r="E12" s="335">
        <v>2</v>
      </c>
      <c r="F12" s="335">
        <v>1</v>
      </c>
      <c r="G12" s="335">
        <v>0</v>
      </c>
      <c r="H12" s="335">
        <v>1</v>
      </c>
    </row>
    <row r="13" spans="2:8" ht="15" customHeight="1" x14ac:dyDescent="0.2">
      <c r="B13" s="334">
        <v>6</v>
      </c>
      <c r="C13" s="335"/>
      <c r="D13" s="335"/>
      <c r="E13" s="335"/>
      <c r="F13" s="335"/>
      <c r="G13" s="335"/>
      <c r="H13" s="335"/>
    </row>
    <row r="14" spans="2:8" ht="15" customHeight="1" x14ac:dyDescent="0.2">
      <c r="B14" s="334">
        <v>7</v>
      </c>
      <c r="C14" s="335"/>
      <c r="D14" s="335"/>
      <c r="E14" s="335"/>
      <c r="F14" s="335"/>
      <c r="G14" s="335"/>
      <c r="H14" s="335"/>
    </row>
    <row r="15" spans="2:8" ht="15" customHeight="1" x14ac:dyDescent="0.2">
      <c r="B15" s="334">
        <v>8</v>
      </c>
      <c r="C15" s="335"/>
      <c r="D15" s="335"/>
      <c r="E15" s="335"/>
      <c r="F15" s="335"/>
      <c r="G15" s="335"/>
      <c r="H15" s="335"/>
    </row>
    <row r="16" spans="2:8" ht="15" customHeight="1" x14ac:dyDescent="0.2">
      <c r="B16" s="334">
        <v>9</v>
      </c>
      <c r="C16" s="335"/>
      <c r="D16" s="335"/>
      <c r="E16" s="335"/>
      <c r="F16" s="335"/>
      <c r="G16" s="335"/>
      <c r="H16" s="335"/>
    </row>
    <row r="17" spans="2:8" ht="15" customHeight="1" x14ac:dyDescent="0.2">
      <c r="B17" s="334">
        <v>10</v>
      </c>
      <c r="C17" s="335"/>
      <c r="D17" s="335"/>
      <c r="E17" s="335"/>
      <c r="F17" s="335"/>
      <c r="G17" s="335"/>
      <c r="H17" s="335"/>
    </row>
    <row r="18" spans="2:8" ht="15" customHeight="1" x14ac:dyDescent="0.2">
      <c r="B18" s="334">
        <v>11</v>
      </c>
      <c r="C18" s="335"/>
      <c r="D18" s="335"/>
      <c r="E18" s="335"/>
      <c r="F18" s="335"/>
      <c r="G18" s="335"/>
      <c r="H18" s="335"/>
    </row>
    <row r="19" spans="2:8" ht="15" customHeight="1" x14ac:dyDescent="0.2">
      <c r="B19" s="334">
        <v>12</v>
      </c>
      <c r="C19" s="335"/>
      <c r="D19" s="335"/>
      <c r="E19" s="335"/>
      <c r="F19" s="335"/>
      <c r="G19" s="335"/>
      <c r="H19" s="335"/>
    </row>
    <row r="20" spans="2:8" ht="15" customHeight="1" x14ac:dyDescent="0.2">
      <c r="B20" s="334">
        <v>13</v>
      </c>
      <c r="C20" s="335"/>
      <c r="D20" s="335"/>
      <c r="E20" s="335"/>
      <c r="F20" s="335"/>
      <c r="G20" s="335"/>
      <c r="H20" s="335"/>
    </row>
    <row r="21" spans="2:8" ht="15" customHeight="1" x14ac:dyDescent="0.2">
      <c r="B21" s="334">
        <v>14</v>
      </c>
      <c r="C21" s="335"/>
      <c r="D21" s="335"/>
      <c r="E21" s="335"/>
      <c r="F21" s="335"/>
      <c r="G21" s="335"/>
      <c r="H21" s="335"/>
    </row>
    <row r="22" spans="2:8" ht="15" customHeight="1" x14ac:dyDescent="0.2">
      <c r="B22" s="334">
        <v>15</v>
      </c>
      <c r="C22" s="335"/>
      <c r="D22" s="335"/>
      <c r="E22" s="335"/>
      <c r="F22" s="335"/>
      <c r="G22" s="335"/>
      <c r="H22" s="335"/>
    </row>
    <row r="23" spans="2:8" ht="15" customHeight="1" x14ac:dyDescent="0.2">
      <c r="B23" s="334">
        <v>16</v>
      </c>
      <c r="C23" s="335"/>
      <c r="D23" s="335"/>
      <c r="E23" s="335"/>
      <c r="F23" s="335"/>
      <c r="G23" s="335"/>
      <c r="H23" s="335"/>
    </row>
    <row r="24" spans="2:8" ht="15" customHeight="1" x14ac:dyDescent="0.2">
      <c r="B24" s="334">
        <v>17</v>
      </c>
      <c r="C24" s="335"/>
      <c r="D24" s="335"/>
      <c r="E24" s="335"/>
      <c r="F24" s="335"/>
      <c r="G24" s="335"/>
      <c r="H24" s="335"/>
    </row>
    <row r="25" spans="2:8" ht="15" customHeight="1" x14ac:dyDescent="0.2">
      <c r="B25" s="334">
        <v>18</v>
      </c>
      <c r="C25" s="335"/>
      <c r="D25" s="335"/>
      <c r="E25" s="335"/>
      <c r="F25" s="335"/>
      <c r="G25" s="335"/>
      <c r="H25" s="335"/>
    </row>
    <row r="26" spans="2:8" ht="15" customHeight="1" x14ac:dyDescent="0.2">
      <c r="B26" s="334">
        <v>19</v>
      </c>
      <c r="C26" s="335"/>
      <c r="D26" s="335"/>
      <c r="E26" s="335"/>
      <c r="F26" s="335"/>
      <c r="G26" s="335"/>
      <c r="H26" s="335"/>
    </row>
    <row r="27" spans="2:8" ht="15" customHeight="1" x14ac:dyDescent="0.2">
      <c r="B27" s="334">
        <v>20</v>
      </c>
      <c r="C27" s="335"/>
      <c r="D27" s="335"/>
      <c r="E27" s="335"/>
      <c r="F27" s="335"/>
      <c r="G27" s="335"/>
      <c r="H27" s="335"/>
    </row>
    <row r="28" spans="2:8" ht="15" customHeight="1" x14ac:dyDescent="0.2">
      <c r="B28" s="334">
        <v>21</v>
      </c>
      <c r="C28" s="335"/>
      <c r="D28" s="335"/>
      <c r="E28" s="335"/>
      <c r="F28" s="335"/>
      <c r="G28" s="335"/>
      <c r="H28" s="335"/>
    </row>
    <row r="29" spans="2:8" ht="15" customHeight="1" thickBot="1" x14ac:dyDescent="0.25">
      <c r="B29" s="336" t="s">
        <v>345</v>
      </c>
      <c r="C29" s="337"/>
      <c r="D29" s="337"/>
      <c r="E29" s="337"/>
      <c r="F29" s="337"/>
      <c r="G29" s="337"/>
      <c r="H29" s="337"/>
    </row>
    <row r="30" spans="2:8" ht="15" customHeight="1" thickBot="1" x14ac:dyDescent="0.25">
      <c r="B30" s="796" t="s">
        <v>207</v>
      </c>
      <c r="C30" s="797"/>
      <c r="D30" s="338">
        <f>SUM(D8:D29)</f>
        <v>21</v>
      </c>
      <c r="E30" s="338">
        <f>SUM(E8:E29)</f>
        <v>24</v>
      </c>
      <c r="F30" s="338">
        <f>SUM(F8:F29)</f>
        <v>12</v>
      </c>
      <c r="G30" s="338">
        <f>SUM(G8:G29)</f>
        <v>9</v>
      </c>
      <c r="H30" s="338">
        <f>SUM(H8:H29)</f>
        <v>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M34"/>
  <sheetViews>
    <sheetView showGridLines="0" topLeftCell="A13" zoomScale="85" zoomScaleNormal="85" workbookViewId="0">
      <selection activeCell="L13" sqref="L13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2" t="s">
        <v>359</v>
      </c>
    </row>
    <row r="4" spans="2:13" ht="20.25" customHeight="1" x14ac:dyDescent="0.2">
      <c r="B4" s="802" t="s">
        <v>0</v>
      </c>
      <c r="C4" s="802"/>
      <c r="D4" s="802"/>
      <c r="E4" s="802"/>
      <c r="F4" s="802"/>
      <c r="G4" s="802"/>
      <c r="H4" s="130"/>
      <c r="I4" s="802" t="s">
        <v>1</v>
      </c>
      <c r="J4" s="802"/>
      <c r="K4" s="802"/>
      <c r="L4" s="802"/>
      <c r="M4" s="130"/>
    </row>
    <row r="5" spans="2:13" ht="11.25" customHeight="1" thickBot="1" x14ac:dyDescent="0.25">
      <c r="B5" s="129"/>
      <c r="C5" s="129"/>
      <c r="D5" s="129"/>
      <c r="E5" s="129"/>
      <c r="F5" s="129"/>
      <c r="G5" s="129"/>
      <c r="H5" s="130"/>
      <c r="I5" s="131"/>
      <c r="J5" s="131"/>
      <c r="K5" s="131"/>
      <c r="L5" s="131"/>
      <c r="M5" s="130"/>
    </row>
    <row r="6" spans="2:13" ht="34.5" customHeight="1" thickBot="1" x14ac:dyDescent="0.25">
      <c r="B6" s="811" t="s">
        <v>2</v>
      </c>
      <c r="C6" s="809" t="s">
        <v>64</v>
      </c>
      <c r="D6" s="813" t="s">
        <v>351</v>
      </c>
      <c r="E6" s="813"/>
      <c r="F6" s="816" t="s">
        <v>754</v>
      </c>
      <c r="G6" s="817"/>
      <c r="H6" s="132"/>
      <c r="I6" s="811" t="s">
        <v>2</v>
      </c>
      <c r="J6" s="809" t="s">
        <v>64</v>
      </c>
      <c r="K6" s="809" t="s">
        <v>804</v>
      </c>
      <c r="L6" s="814" t="s">
        <v>838</v>
      </c>
      <c r="M6" s="106"/>
    </row>
    <row r="7" spans="2:13" ht="40.5" customHeight="1" thickBot="1" x14ac:dyDescent="0.25">
      <c r="B7" s="812"/>
      <c r="C7" s="810"/>
      <c r="D7" s="161" t="s">
        <v>803</v>
      </c>
      <c r="E7" s="162" t="s">
        <v>837</v>
      </c>
      <c r="F7" s="163" t="s">
        <v>803</v>
      </c>
      <c r="G7" s="162" t="s">
        <v>837</v>
      </c>
      <c r="H7" s="132"/>
      <c r="I7" s="812"/>
      <c r="J7" s="810"/>
      <c r="K7" s="810"/>
      <c r="L7" s="815"/>
      <c r="M7" s="106"/>
    </row>
    <row r="8" spans="2:13" ht="30" customHeight="1" x14ac:dyDescent="0.2">
      <c r="B8" s="133">
        <v>1</v>
      </c>
      <c r="C8" s="134" t="s">
        <v>3</v>
      </c>
      <c r="D8" s="135">
        <v>8</v>
      </c>
      <c r="E8" s="85">
        <v>9</v>
      </c>
      <c r="F8" s="136">
        <v>3</v>
      </c>
      <c r="G8" s="620">
        <v>3</v>
      </c>
      <c r="H8" s="132"/>
      <c r="I8" s="137">
        <v>1</v>
      </c>
      <c r="J8" s="138" t="s">
        <v>4</v>
      </c>
      <c r="K8" s="135">
        <v>1</v>
      </c>
      <c r="L8" s="85">
        <v>2</v>
      </c>
      <c r="M8" s="106"/>
    </row>
    <row r="9" spans="2:13" ht="30" customHeight="1" x14ac:dyDescent="0.2">
      <c r="B9" s="139">
        <v>2</v>
      </c>
      <c r="C9" s="140" t="s">
        <v>6</v>
      </c>
      <c r="D9" s="81">
        <v>1</v>
      </c>
      <c r="E9" s="69">
        <v>1</v>
      </c>
      <c r="F9" s="141"/>
      <c r="G9" s="142"/>
      <c r="H9" s="106"/>
      <c r="I9" s="139">
        <v>2</v>
      </c>
      <c r="J9" s="140" t="s">
        <v>253</v>
      </c>
      <c r="K9" s="81">
        <v>2</v>
      </c>
      <c r="L9" s="69">
        <v>2</v>
      </c>
      <c r="M9" s="106"/>
    </row>
    <row r="10" spans="2:13" ht="30" customHeight="1" x14ac:dyDescent="0.2">
      <c r="B10" s="139">
        <v>3</v>
      </c>
      <c r="C10" s="140" t="s">
        <v>8</v>
      </c>
      <c r="D10" s="81"/>
      <c r="E10" s="69"/>
      <c r="F10" s="143"/>
      <c r="G10" s="69"/>
      <c r="H10" s="106"/>
      <c r="I10" s="139">
        <v>3</v>
      </c>
      <c r="J10" s="140" t="s">
        <v>9</v>
      </c>
      <c r="K10" s="81">
        <v>3</v>
      </c>
      <c r="L10" s="69">
        <v>3</v>
      </c>
      <c r="M10" s="106"/>
    </row>
    <row r="11" spans="2:13" ht="30" customHeight="1" x14ac:dyDescent="0.2">
      <c r="B11" s="139">
        <v>4</v>
      </c>
      <c r="C11" s="140" t="s">
        <v>11</v>
      </c>
      <c r="D11" s="81">
        <v>2</v>
      </c>
      <c r="E11" s="69">
        <v>2</v>
      </c>
      <c r="F11" s="141"/>
      <c r="G11" s="85"/>
      <c r="H11" s="106"/>
      <c r="I11" s="139">
        <v>4</v>
      </c>
      <c r="J11" s="140" t="s">
        <v>12</v>
      </c>
      <c r="K11" s="81">
        <v>4</v>
      </c>
      <c r="L11" s="69">
        <v>4</v>
      </c>
      <c r="M11" s="106"/>
    </row>
    <row r="12" spans="2:13" ht="30" customHeight="1" thickBot="1" x14ac:dyDescent="0.25">
      <c r="B12" s="139">
        <v>5</v>
      </c>
      <c r="C12" s="140" t="s">
        <v>14</v>
      </c>
      <c r="D12" s="81"/>
      <c r="E12" s="69"/>
      <c r="F12" s="144"/>
      <c r="G12" s="145"/>
      <c r="H12" s="106"/>
      <c r="I12" s="146">
        <v>5</v>
      </c>
      <c r="J12" s="147" t="s">
        <v>346</v>
      </c>
      <c r="K12" s="148">
        <v>1</v>
      </c>
      <c r="L12" s="84">
        <v>1</v>
      </c>
      <c r="M12" s="106"/>
    </row>
    <row r="13" spans="2:13" ht="30" customHeight="1" x14ac:dyDescent="0.2">
      <c r="B13" s="139">
        <v>6</v>
      </c>
      <c r="C13" s="140" t="s">
        <v>16</v>
      </c>
      <c r="D13" s="81"/>
      <c r="E13" s="69"/>
      <c r="F13" s="144"/>
      <c r="G13" s="145"/>
      <c r="H13" s="106"/>
      <c r="I13" s="803" t="s">
        <v>21</v>
      </c>
      <c r="J13" s="804"/>
      <c r="K13" s="165">
        <f>SUM(K8:K12)</f>
        <v>11</v>
      </c>
      <c r="L13" s="165">
        <f>SUM(L8:L12)</f>
        <v>12</v>
      </c>
      <c r="M13" s="106"/>
    </row>
    <row r="14" spans="2:13" ht="30" customHeight="1" thickBot="1" x14ac:dyDescent="0.25">
      <c r="B14" s="149">
        <v>7</v>
      </c>
      <c r="C14" s="147" t="s">
        <v>18</v>
      </c>
      <c r="D14" s="110"/>
      <c r="E14" s="71"/>
      <c r="F14" s="150"/>
      <c r="G14" s="151"/>
      <c r="H14" s="106"/>
      <c r="I14" s="805" t="s">
        <v>19</v>
      </c>
      <c r="J14" s="806"/>
      <c r="K14" s="166">
        <v>48</v>
      </c>
      <c r="L14" s="167">
        <v>46.5</v>
      </c>
      <c r="M14" s="106"/>
    </row>
    <row r="15" spans="2:13" ht="30" customHeight="1" thickBot="1" x14ac:dyDescent="0.25">
      <c r="B15" s="807" t="s">
        <v>21</v>
      </c>
      <c r="C15" s="808"/>
      <c r="D15" s="164">
        <f>SUM(D8:D14)</f>
        <v>11</v>
      </c>
      <c r="E15" s="164">
        <f>SUM(E8:E14)</f>
        <v>12</v>
      </c>
      <c r="F15" s="164">
        <f>SUM(F8:F14)</f>
        <v>3</v>
      </c>
      <c r="G15" s="164">
        <f>SUM(G8:G14)</f>
        <v>3</v>
      </c>
      <c r="H15" s="106"/>
      <c r="I15" s="152"/>
      <c r="J15" s="23"/>
      <c r="K15" s="106"/>
      <c r="L15" s="106"/>
      <c r="M15" s="106"/>
    </row>
    <row r="16" spans="2:13" ht="21.75" customHeight="1" x14ac:dyDescent="0.2">
      <c r="B16" s="152"/>
      <c r="C16" s="23"/>
      <c r="D16" s="106"/>
      <c r="E16" s="106"/>
      <c r="F16" s="106"/>
      <c r="G16" s="106"/>
      <c r="H16" s="106"/>
      <c r="I16" s="106"/>
      <c r="J16" s="23"/>
      <c r="K16" s="106"/>
      <c r="L16" s="106"/>
      <c r="M16" s="106"/>
    </row>
    <row r="17" spans="2:13" x14ac:dyDescent="0.2">
      <c r="C17" s="153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2:13" ht="18.75" customHeight="1" x14ac:dyDescent="0.25">
      <c r="B18" s="818" t="s">
        <v>199</v>
      </c>
      <c r="C18" s="818"/>
      <c r="D18" s="818"/>
      <c r="E18" s="818"/>
      <c r="F18" s="818"/>
      <c r="G18" s="818"/>
      <c r="H18" s="106"/>
      <c r="I18" s="802" t="s">
        <v>239</v>
      </c>
      <c r="J18" s="802"/>
      <c r="K18" s="802"/>
      <c r="L18" s="802"/>
      <c r="M18" s="106"/>
    </row>
    <row r="19" spans="2:13" ht="18.75" customHeight="1" thickBot="1" x14ac:dyDescent="0.3">
      <c r="F19" s="154"/>
      <c r="G19" s="154"/>
    </row>
    <row r="20" spans="2:13" ht="31.5" customHeight="1" thickBot="1" x14ac:dyDescent="0.3">
      <c r="B20" s="811" t="s">
        <v>2</v>
      </c>
      <c r="C20" s="809" t="s">
        <v>64</v>
      </c>
      <c r="D20" s="813" t="s">
        <v>351</v>
      </c>
      <c r="E20" s="813"/>
      <c r="F20" s="816" t="s">
        <v>754</v>
      </c>
      <c r="G20" s="817"/>
      <c r="I20" s="811" t="s">
        <v>2</v>
      </c>
      <c r="J20" s="819" t="s">
        <v>64</v>
      </c>
      <c r="K20" s="809" t="s">
        <v>804</v>
      </c>
      <c r="L20" s="814" t="s">
        <v>838</v>
      </c>
      <c r="M20" s="155"/>
    </row>
    <row r="21" spans="2:13" ht="34.5" customHeight="1" thickBot="1" x14ac:dyDescent="0.25">
      <c r="B21" s="812"/>
      <c r="C21" s="810"/>
      <c r="D21" s="161" t="s">
        <v>803</v>
      </c>
      <c r="E21" s="162" t="s">
        <v>837</v>
      </c>
      <c r="F21" s="168" t="s">
        <v>803</v>
      </c>
      <c r="G21" s="169" t="s">
        <v>837</v>
      </c>
      <c r="I21" s="812"/>
      <c r="J21" s="820"/>
      <c r="K21" s="810"/>
      <c r="L21" s="815"/>
    </row>
    <row r="22" spans="2:13" ht="30" customHeight="1" x14ac:dyDescent="0.2">
      <c r="B22" s="156">
        <v>1</v>
      </c>
      <c r="C22" s="138" t="s">
        <v>254</v>
      </c>
      <c r="D22" s="135">
        <v>5</v>
      </c>
      <c r="E22" s="85">
        <v>5</v>
      </c>
      <c r="F22" s="136">
        <v>3</v>
      </c>
      <c r="G22" s="157">
        <v>3</v>
      </c>
      <c r="I22" s="156">
        <v>1</v>
      </c>
      <c r="J22" s="158" t="s">
        <v>5</v>
      </c>
      <c r="K22" s="82">
        <v>4</v>
      </c>
      <c r="L22" s="85">
        <v>5</v>
      </c>
    </row>
    <row r="23" spans="2:13" ht="30" customHeight="1" thickBot="1" x14ac:dyDescent="0.25">
      <c r="B23" s="149">
        <v>2</v>
      </c>
      <c r="C23" s="147" t="s">
        <v>255</v>
      </c>
      <c r="D23" s="110">
        <v>6</v>
      </c>
      <c r="E23" s="71">
        <v>7</v>
      </c>
      <c r="F23" s="159"/>
      <c r="G23" s="160"/>
      <c r="I23" s="139">
        <v>2</v>
      </c>
      <c r="J23" s="140" t="s">
        <v>7</v>
      </c>
      <c r="K23" s="68">
        <v>2</v>
      </c>
      <c r="L23" s="69">
        <v>2</v>
      </c>
    </row>
    <row r="24" spans="2:13" ht="30" customHeight="1" thickBot="1" x14ac:dyDescent="0.25">
      <c r="B24" s="807" t="s">
        <v>21</v>
      </c>
      <c r="C24" s="808"/>
      <c r="D24" s="164">
        <f>SUM(D22:D23)</f>
        <v>11</v>
      </c>
      <c r="E24" s="164">
        <f>SUM(E22:E23)</f>
        <v>12</v>
      </c>
      <c r="F24" s="164">
        <f>SUM(F22:F23)</f>
        <v>3</v>
      </c>
      <c r="G24" s="164">
        <f>SUM(G22:G23)</f>
        <v>3</v>
      </c>
      <c r="I24" s="139">
        <v>3</v>
      </c>
      <c r="J24" s="140" t="s">
        <v>10</v>
      </c>
      <c r="K24" s="68">
        <v>2</v>
      </c>
      <c r="L24" s="69">
        <v>2</v>
      </c>
    </row>
    <row r="25" spans="2:13" ht="30" customHeight="1" x14ac:dyDescent="0.2">
      <c r="B25" s="152"/>
      <c r="I25" s="139">
        <v>4</v>
      </c>
      <c r="J25" s="140" t="s">
        <v>13</v>
      </c>
      <c r="K25" s="68">
        <v>1</v>
      </c>
      <c r="L25" s="69">
        <v>0</v>
      </c>
    </row>
    <row r="26" spans="2:13" ht="30" customHeight="1" x14ac:dyDescent="0.2">
      <c r="I26" s="139">
        <v>5</v>
      </c>
      <c r="J26" s="140" t="s">
        <v>15</v>
      </c>
      <c r="K26" s="68">
        <v>1</v>
      </c>
      <c r="L26" s="69">
        <v>2</v>
      </c>
    </row>
    <row r="27" spans="2:13" ht="30" customHeight="1" x14ac:dyDescent="0.2">
      <c r="I27" s="139">
        <v>6</v>
      </c>
      <c r="J27" s="140" t="s">
        <v>17</v>
      </c>
      <c r="K27" s="68">
        <v>1</v>
      </c>
      <c r="L27" s="69">
        <v>1</v>
      </c>
    </row>
    <row r="28" spans="2:13" ht="30" customHeight="1" x14ac:dyDescent="0.2">
      <c r="I28" s="139">
        <v>7</v>
      </c>
      <c r="J28" s="140" t="s">
        <v>20</v>
      </c>
      <c r="K28" s="68"/>
      <c r="L28" s="69"/>
    </row>
    <row r="29" spans="2:13" ht="30" customHeight="1" thickBot="1" x14ac:dyDescent="0.25">
      <c r="I29" s="149">
        <v>8</v>
      </c>
      <c r="J29" s="147" t="s">
        <v>22</v>
      </c>
      <c r="K29" s="70"/>
      <c r="L29" s="71"/>
    </row>
    <row r="30" spans="2:13" ht="30" customHeight="1" thickBot="1" x14ac:dyDescent="0.25">
      <c r="I30" s="170"/>
      <c r="J30" s="171" t="s">
        <v>21</v>
      </c>
      <c r="K30" s="172">
        <f>SUM(K22:K29)</f>
        <v>11</v>
      </c>
      <c r="L30" s="172">
        <f>SUM(L22:L29)</f>
        <v>12</v>
      </c>
    </row>
    <row r="31" spans="2:13" ht="30" customHeight="1" x14ac:dyDescent="0.2">
      <c r="I31" s="152"/>
    </row>
    <row r="32" spans="2:13" ht="26.25" customHeight="1" x14ac:dyDescent="0.2">
      <c r="I32" s="152"/>
    </row>
    <row r="33" spans="9:9" ht="16.5" customHeight="1" x14ac:dyDescent="0.2"/>
    <row r="34" spans="9:9" x14ac:dyDescent="0.2">
      <c r="I34" s="152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B1:O31"/>
  <sheetViews>
    <sheetView showGridLines="0" topLeftCell="A13" zoomScale="85" zoomScaleNormal="85" workbookViewId="0">
      <selection activeCell="D15" sqref="D15"/>
    </sheetView>
  </sheetViews>
  <sheetFormatPr defaultRowHeight="14.25" x14ac:dyDescent="0.2"/>
  <cols>
    <col min="1" max="1" width="3" style="173" customWidth="1"/>
    <col min="2" max="2" width="9.140625" style="173"/>
    <col min="3" max="3" width="61.140625" style="173" customWidth="1"/>
    <col min="4" max="4" width="25.7109375" style="173" customWidth="1"/>
    <col min="5" max="5" width="2.28515625" style="173" customWidth="1"/>
    <col min="6" max="6" width="9.140625" style="173"/>
    <col min="7" max="7" width="69" style="173" customWidth="1"/>
    <col min="8" max="8" width="25.7109375" style="173" customWidth="1"/>
    <col min="9" max="16384" width="9.140625" style="173"/>
  </cols>
  <sheetData>
    <row r="1" spans="2:15" ht="15.75" x14ac:dyDescent="0.25">
      <c r="B1" s="4"/>
      <c r="C1" s="4"/>
      <c r="D1" s="4"/>
      <c r="E1" s="4"/>
      <c r="F1" s="4"/>
      <c r="G1" s="4"/>
      <c r="H1" s="42" t="s">
        <v>795</v>
      </c>
    </row>
    <row r="2" spans="2:15" ht="15" x14ac:dyDescent="0.2">
      <c r="B2" s="4"/>
      <c r="C2" s="4"/>
      <c r="D2" s="4"/>
      <c r="E2" s="4"/>
      <c r="F2" s="4"/>
      <c r="G2" s="4"/>
      <c r="H2" s="92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781" t="s">
        <v>63</v>
      </c>
      <c r="C4" s="781"/>
      <c r="D4" s="781"/>
      <c r="E4" s="781"/>
      <c r="F4" s="781"/>
      <c r="G4" s="781"/>
      <c r="H4" s="781"/>
    </row>
    <row r="5" spans="2:15" ht="16.5" thickBot="1" x14ac:dyDescent="0.3">
      <c r="B5" s="58"/>
      <c r="C5" s="58"/>
      <c r="D5" s="58"/>
      <c r="E5" s="58"/>
      <c r="F5" s="4"/>
      <c r="G5" s="4"/>
      <c r="H5" s="4"/>
    </row>
    <row r="6" spans="2:15" ht="21" customHeight="1" x14ac:dyDescent="0.2">
      <c r="B6" s="786" t="s">
        <v>47</v>
      </c>
      <c r="C6" s="824" t="s">
        <v>62</v>
      </c>
      <c r="D6" s="792" t="s">
        <v>49</v>
      </c>
      <c r="E6" s="827"/>
      <c r="F6" s="786" t="s">
        <v>47</v>
      </c>
      <c r="G6" s="824" t="s">
        <v>62</v>
      </c>
      <c r="H6" s="792" t="s">
        <v>49</v>
      </c>
    </row>
    <row r="7" spans="2:15" ht="25.5" customHeight="1" thickBot="1" x14ac:dyDescent="0.25">
      <c r="B7" s="787"/>
      <c r="C7" s="825"/>
      <c r="D7" s="793"/>
      <c r="E7" s="828"/>
      <c r="F7" s="787"/>
      <c r="G7" s="825"/>
      <c r="H7" s="793"/>
      <c r="I7" s="821"/>
      <c r="J7" s="826"/>
      <c r="K7" s="821"/>
      <c r="L7" s="826"/>
      <c r="M7" s="821"/>
      <c r="N7" s="821"/>
      <c r="O7" s="821"/>
    </row>
    <row r="8" spans="2:15" ht="30" customHeight="1" thickBot="1" x14ac:dyDescent="0.25">
      <c r="B8" s="354"/>
      <c r="C8" s="210" t="s">
        <v>806</v>
      </c>
      <c r="D8" s="211">
        <v>11</v>
      </c>
      <c r="E8" s="174"/>
      <c r="F8" s="208"/>
      <c r="G8" s="206" t="s">
        <v>844</v>
      </c>
      <c r="H8" s="207">
        <v>12</v>
      </c>
      <c r="I8" s="821"/>
      <c r="J8" s="826"/>
      <c r="K8" s="821"/>
      <c r="L8" s="826"/>
      <c r="M8" s="821"/>
      <c r="N8" s="821"/>
      <c r="O8" s="821"/>
    </row>
    <row r="9" spans="2:15" s="180" customFormat="1" ht="30" customHeight="1" x14ac:dyDescent="0.2">
      <c r="B9" s="175"/>
      <c r="C9" s="176" t="s">
        <v>839</v>
      </c>
      <c r="D9" s="177"/>
      <c r="E9" s="178"/>
      <c r="F9" s="179"/>
      <c r="G9" s="176" t="s">
        <v>845</v>
      </c>
      <c r="H9" s="117"/>
      <c r="I9" s="826"/>
      <c r="J9" s="826"/>
      <c r="K9" s="821"/>
      <c r="L9" s="826"/>
      <c r="M9" s="821"/>
      <c r="N9" s="821"/>
      <c r="O9" s="821"/>
    </row>
    <row r="10" spans="2:15" ht="30" customHeight="1" x14ac:dyDescent="0.2">
      <c r="B10" s="181" t="s">
        <v>67</v>
      </c>
      <c r="C10" s="182" t="s">
        <v>44</v>
      </c>
      <c r="D10" s="183"/>
      <c r="E10" s="184"/>
      <c r="F10" s="185" t="s">
        <v>67</v>
      </c>
      <c r="G10" s="182" t="s">
        <v>44</v>
      </c>
      <c r="H10" s="122"/>
    </row>
    <row r="11" spans="2:15" ht="30" customHeight="1" x14ac:dyDescent="0.2">
      <c r="B11" s="181" t="s">
        <v>70</v>
      </c>
      <c r="C11" s="186"/>
      <c r="D11" s="183"/>
      <c r="E11" s="184"/>
      <c r="F11" s="185" t="s">
        <v>70</v>
      </c>
      <c r="G11" s="186"/>
      <c r="H11" s="122"/>
    </row>
    <row r="12" spans="2:15" ht="30" customHeight="1" x14ac:dyDescent="0.2">
      <c r="B12" s="181" t="s">
        <v>71</v>
      </c>
      <c r="C12" s="186"/>
      <c r="D12" s="183"/>
      <c r="E12" s="184"/>
      <c r="F12" s="185" t="s">
        <v>71</v>
      </c>
      <c r="G12" s="186"/>
      <c r="H12" s="122"/>
    </row>
    <row r="13" spans="2:15" ht="30" customHeight="1" x14ac:dyDescent="0.2">
      <c r="B13" s="181" t="s">
        <v>75</v>
      </c>
      <c r="C13" s="186"/>
      <c r="D13" s="183"/>
      <c r="E13" s="184"/>
      <c r="F13" s="185" t="s">
        <v>75</v>
      </c>
      <c r="G13" s="186"/>
      <c r="H13" s="122"/>
    </row>
    <row r="14" spans="2:15" s="191" customFormat="1" ht="30" customHeight="1" x14ac:dyDescent="0.2">
      <c r="B14" s="187"/>
      <c r="C14" s="188" t="s">
        <v>840</v>
      </c>
      <c r="D14" s="183">
        <f>SUM(D15:D16)</f>
        <v>1</v>
      </c>
      <c r="E14" s="189"/>
      <c r="F14" s="190"/>
      <c r="G14" s="188" t="s">
        <v>846</v>
      </c>
      <c r="H14" s="122"/>
    </row>
    <row r="15" spans="2:15" ht="30" customHeight="1" x14ac:dyDescent="0.2">
      <c r="B15" s="181" t="s">
        <v>67</v>
      </c>
      <c r="C15" s="182" t="s">
        <v>936</v>
      </c>
      <c r="D15" s="183">
        <v>1</v>
      </c>
      <c r="E15" s="184"/>
      <c r="F15" s="185" t="s">
        <v>67</v>
      </c>
      <c r="G15" s="182" t="s">
        <v>44</v>
      </c>
      <c r="H15" s="122"/>
    </row>
    <row r="16" spans="2:15" ht="30" customHeight="1" thickBot="1" x14ac:dyDescent="0.25">
      <c r="B16" s="192" t="s">
        <v>70</v>
      </c>
      <c r="C16" s="193"/>
      <c r="D16" s="194"/>
      <c r="E16" s="184"/>
      <c r="F16" s="195" t="s">
        <v>70</v>
      </c>
      <c r="G16" s="193"/>
      <c r="H16" s="196"/>
    </row>
    <row r="17" spans="2:8" ht="30" customHeight="1" thickBot="1" x14ac:dyDescent="0.25">
      <c r="B17" s="205"/>
      <c r="C17" s="206" t="s">
        <v>841</v>
      </c>
      <c r="D17" s="207">
        <f>SUM(D8,-D9,D14)</f>
        <v>12</v>
      </c>
      <c r="E17" s="822"/>
      <c r="F17" s="209"/>
      <c r="G17" s="206" t="s">
        <v>847</v>
      </c>
      <c r="H17" s="207">
        <v>12</v>
      </c>
    </row>
    <row r="18" spans="2:8" ht="15.75" thickBot="1" x14ac:dyDescent="0.25">
      <c r="B18" s="197"/>
      <c r="C18" s="198"/>
      <c r="D18" s="199"/>
      <c r="E18" s="823"/>
      <c r="F18" s="199"/>
      <c r="G18" s="199"/>
      <c r="H18" s="200"/>
    </row>
    <row r="19" spans="2:8" x14ac:dyDescent="0.2">
      <c r="B19" s="786" t="s">
        <v>47</v>
      </c>
      <c r="C19" s="824" t="s">
        <v>62</v>
      </c>
      <c r="D19" s="792" t="s">
        <v>49</v>
      </c>
      <c r="E19" s="822"/>
      <c r="F19" s="786" t="s">
        <v>47</v>
      </c>
      <c r="G19" s="824" t="s">
        <v>62</v>
      </c>
      <c r="H19" s="792" t="s">
        <v>49</v>
      </c>
    </row>
    <row r="20" spans="2:8" ht="15" thickBot="1" x14ac:dyDescent="0.25">
      <c r="B20" s="787"/>
      <c r="C20" s="825"/>
      <c r="D20" s="793"/>
      <c r="E20" s="822"/>
      <c r="F20" s="787"/>
      <c r="G20" s="825"/>
      <c r="H20" s="793"/>
    </row>
    <row r="21" spans="2:8" ht="30" customHeight="1" thickBot="1" x14ac:dyDescent="0.25">
      <c r="B21" s="208"/>
      <c r="C21" s="206" t="s">
        <v>841</v>
      </c>
      <c r="D21" s="207">
        <v>12</v>
      </c>
      <c r="E21" s="174"/>
      <c r="F21" s="208"/>
      <c r="G21" s="206" t="s">
        <v>847</v>
      </c>
      <c r="H21" s="207">
        <v>12</v>
      </c>
    </row>
    <row r="22" spans="2:8" ht="30" customHeight="1" x14ac:dyDescent="0.2">
      <c r="B22" s="175"/>
      <c r="C22" s="176" t="s">
        <v>842</v>
      </c>
      <c r="D22" s="177"/>
      <c r="E22" s="184"/>
      <c r="F22" s="179"/>
      <c r="G22" s="176" t="s">
        <v>848</v>
      </c>
      <c r="H22" s="117"/>
    </row>
    <row r="23" spans="2:8" ht="30" customHeight="1" x14ac:dyDescent="0.2">
      <c r="B23" s="181" t="s">
        <v>67</v>
      </c>
      <c r="C23" s="182" t="s">
        <v>44</v>
      </c>
      <c r="D23" s="183"/>
      <c r="E23" s="184"/>
      <c r="F23" s="185" t="s">
        <v>67</v>
      </c>
      <c r="G23" s="182" t="s">
        <v>44</v>
      </c>
      <c r="H23" s="122"/>
    </row>
    <row r="24" spans="2:8" ht="30" customHeight="1" x14ac:dyDescent="0.2">
      <c r="B24" s="181" t="s">
        <v>70</v>
      </c>
      <c r="C24" s="186"/>
      <c r="D24" s="183"/>
      <c r="E24" s="184"/>
      <c r="F24" s="185" t="s">
        <v>70</v>
      </c>
      <c r="G24" s="186"/>
      <c r="H24" s="122"/>
    </row>
    <row r="25" spans="2:8" ht="30" customHeight="1" x14ac:dyDescent="0.2">
      <c r="B25" s="181" t="s">
        <v>71</v>
      </c>
      <c r="C25" s="186"/>
      <c r="D25" s="183"/>
      <c r="E25" s="184"/>
      <c r="F25" s="185" t="s">
        <v>71</v>
      </c>
      <c r="G25" s="186"/>
      <c r="H25" s="122"/>
    </row>
    <row r="26" spans="2:8" ht="30" customHeight="1" x14ac:dyDescent="0.2">
      <c r="B26" s="181" t="s">
        <v>75</v>
      </c>
      <c r="C26" s="186"/>
      <c r="D26" s="183"/>
      <c r="E26" s="184"/>
      <c r="F26" s="185" t="s">
        <v>75</v>
      </c>
      <c r="G26" s="186"/>
      <c r="H26" s="122"/>
    </row>
    <row r="27" spans="2:8" ht="30" customHeight="1" x14ac:dyDescent="0.2">
      <c r="B27" s="187"/>
      <c r="C27" s="188" t="s">
        <v>843</v>
      </c>
      <c r="D27" s="201"/>
      <c r="E27" s="189"/>
      <c r="F27" s="190"/>
      <c r="G27" s="188" t="s">
        <v>849</v>
      </c>
      <c r="H27" s="202"/>
    </row>
    <row r="28" spans="2:8" ht="30" customHeight="1" x14ac:dyDescent="0.2">
      <c r="B28" s="181" t="s">
        <v>67</v>
      </c>
      <c r="C28" s="182" t="s">
        <v>44</v>
      </c>
      <c r="D28" s="183"/>
      <c r="E28" s="184"/>
      <c r="F28" s="185" t="s">
        <v>67</v>
      </c>
      <c r="G28" s="182" t="s">
        <v>44</v>
      </c>
      <c r="H28" s="122"/>
    </row>
    <row r="29" spans="2:8" ht="30" customHeight="1" thickBot="1" x14ac:dyDescent="0.25">
      <c r="B29" s="192" t="s">
        <v>70</v>
      </c>
      <c r="C29" s="193"/>
      <c r="D29" s="194"/>
      <c r="E29" s="184"/>
      <c r="F29" s="195" t="s">
        <v>70</v>
      </c>
      <c r="G29" s="193"/>
      <c r="H29" s="196"/>
    </row>
    <row r="30" spans="2:8" ht="30" customHeight="1" thickBot="1" x14ac:dyDescent="0.25">
      <c r="B30" s="354"/>
      <c r="C30" s="210" t="s">
        <v>844</v>
      </c>
      <c r="D30" s="212">
        <v>12</v>
      </c>
      <c r="E30" s="203"/>
      <c r="F30" s="213"/>
      <c r="G30" s="210" t="s">
        <v>850</v>
      </c>
      <c r="H30" s="211">
        <v>12</v>
      </c>
    </row>
    <row r="31" spans="2:8" x14ac:dyDescent="0.2">
      <c r="B31" s="204"/>
      <c r="C31" s="204"/>
    </row>
  </sheetData>
  <mergeCells count="22">
    <mergeCell ref="B4:H4"/>
    <mergeCell ref="B6:B7"/>
    <mergeCell ref="C6:C7"/>
    <mergeCell ref="D6:D7"/>
    <mergeCell ref="E6:E7"/>
    <mergeCell ref="F6:F7"/>
    <mergeCell ref="G6:G7"/>
    <mergeCell ref="H6:H7"/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65" orientation="landscape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O70"/>
  <sheetViews>
    <sheetView showGridLines="0" tabSelected="1" topLeftCell="A40" zoomScale="115" zoomScaleNormal="115" workbookViewId="0">
      <selection activeCell="K44" sqref="K44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2:14" x14ac:dyDescent="0.2">
      <c r="N2" s="39" t="s">
        <v>358</v>
      </c>
    </row>
    <row r="4" spans="2:14" ht="15.75" x14ac:dyDescent="0.2">
      <c r="B4" s="829" t="s">
        <v>851</v>
      </c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4" ht="13.5" thickBot="1" x14ac:dyDescent="0.25"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38" t="s">
        <v>46</v>
      </c>
    </row>
    <row r="6" spans="2:14" ht="15" customHeight="1" x14ac:dyDescent="0.2">
      <c r="B6" s="837" t="s">
        <v>852</v>
      </c>
      <c r="C6" s="840" t="s">
        <v>21</v>
      </c>
      <c r="D6" s="841"/>
      <c r="E6" s="842"/>
      <c r="F6" s="830" t="s">
        <v>347</v>
      </c>
      <c r="G6" s="831"/>
      <c r="H6" s="832"/>
      <c r="I6" s="830" t="s">
        <v>94</v>
      </c>
      <c r="J6" s="831"/>
      <c r="K6" s="832"/>
      <c r="L6" s="830" t="s">
        <v>95</v>
      </c>
      <c r="M6" s="831"/>
      <c r="N6" s="832"/>
    </row>
    <row r="7" spans="2:14" ht="12.75" customHeight="1" x14ac:dyDescent="0.2">
      <c r="B7" s="838"/>
      <c r="C7" s="835" t="s">
        <v>49</v>
      </c>
      <c r="D7" s="684" t="s">
        <v>196</v>
      </c>
      <c r="E7" s="833" t="s">
        <v>252</v>
      </c>
      <c r="F7" s="835" t="s">
        <v>49</v>
      </c>
      <c r="G7" s="684" t="s">
        <v>196</v>
      </c>
      <c r="H7" s="833" t="s">
        <v>252</v>
      </c>
      <c r="I7" s="835" t="s">
        <v>49</v>
      </c>
      <c r="J7" s="684" t="s">
        <v>196</v>
      </c>
      <c r="K7" s="833" t="s">
        <v>252</v>
      </c>
      <c r="L7" s="835" t="s">
        <v>49</v>
      </c>
      <c r="M7" s="684" t="s">
        <v>196</v>
      </c>
      <c r="N7" s="833" t="s">
        <v>252</v>
      </c>
    </row>
    <row r="8" spans="2:14" ht="21.75" customHeight="1" thickBot="1" x14ac:dyDescent="0.25">
      <c r="B8" s="839"/>
      <c r="C8" s="836"/>
      <c r="D8" s="685"/>
      <c r="E8" s="834"/>
      <c r="F8" s="836"/>
      <c r="G8" s="685"/>
      <c r="H8" s="834"/>
      <c r="I8" s="836"/>
      <c r="J8" s="685"/>
      <c r="K8" s="834"/>
      <c r="L8" s="836"/>
      <c r="M8" s="685"/>
      <c r="N8" s="834"/>
    </row>
    <row r="9" spans="2:14" x14ac:dyDescent="0.2">
      <c r="B9" s="339" t="s">
        <v>96</v>
      </c>
      <c r="C9" s="629">
        <v>14</v>
      </c>
      <c r="D9" s="86">
        <f>SUM(G9,J9,M9)</f>
        <v>1995765.72</v>
      </c>
      <c r="E9" s="89">
        <f>SUM(D9/C9)</f>
        <v>142554.69428571427</v>
      </c>
      <c r="F9" s="629">
        <v>13</v>
      </c>
      <c r="G9" s="86">
        <v>1765014.91</v>
      </c>
      <c r="H9" s="89">
        <f>SUM(G9/F9)</f>
        <v>135770.37769230769</v>
      </c>
      <c r="I9" s="629"/>
      <c r="J9" s="86"/>
      <c r="K9" s="89"/>
      <c r="L9" s="629">
        <v>1</v>
      </c>
      <c r="M9" s="86">
        <v>230750.81</v>
      </c>
      <c r="N9" s="89">
        <f>SUM(M9/L9)</f>
        <v>230750.81</v>
      </c>
    </row>
    <row r="10" spans="2:14" x14ac:dyDescent="0.2">
      <c r="B10" s="341" t="s">
        <v>97</v>
      </c>
      <c r="C10" s="343">
        <v>14</v>
      </c>
      <c r="D10" s="73">
        <f t="shared" ref="D10:D20" si="0">SUM(G10,J10,M10)</f>
        <v>1882013.82</v>
      </c>
      <c r="E10" s="74">
        <f t="shared" ref="E10:E20" si="1">SUM(D10/C10)</f>
        <v>134429.55857142858</v>
      </c>
      <c r="F10" s="343">
        <v>13</v>
      </c>
      <c r="G10" s="73">
        <v>1652510.04</v>
      </c>
      <c r="H10" s="74">
        <f t="shared" ref="H10:H20" si="2">SUM(G10/F10)</f>
        <v>127116.15692307692</v>
      </c>
      <c r="I10" s="343"/>
      <c r="J10" s="73"/>
      <c r="K10" s="74"/>
      <c r="L10" s="343">
        <v>1</v>
      </c>
      <c r="M10" s="73">
        <v>229503.78</v>
      </c>
      <c r="N10" s="74">
        <f t="shared" ref="N10:N20" si="3">SUM(M10/L10)</f>
        <v>229503.78</v>
      </c>
    </row>
    <row r="11" spans="2:14" x14ac:dyDescent="0.2">
      <c r="B11" s="341" t="s">
        <v>98</v>
      </c>
      <c r="C11" s="343">
        <v>14</v>
      </c>
      <c r="D11" s="73">
        <f t="shared" si="0"/>
        <v>1963005.41</v>
      </c>
      <c r="E11" s="74">
        <f t="shared" si="1"/>
        <v>140214.67214285713</v>
      </c>
      <c r="F11" s="343">
        <v>13</v>
      </c>
      <c r="G11" s="73">
        <v>1731561.44</v>
      </c>
      <c r="H11" s="74">
        <f t="shared" si="2"/>
        <v>133197.03384615385</v>
      </c>
      <c r="I11" s="343"/>
      <c r="J11" s="73"/>
      <c r="K11" s="74"/>
      <c r="L11" s="343">
        <v>1</v>
      </c>
      <c r="M11" s="73">
        <v>231443.97</v>
      </c>
      <c r="N11" s="74">
        <f t="shared" si="3"/>
        <v>231443.97</v>
      </c>
    </row>
    <row r="12" spans="2:14" x14ac:dyDescent="0.2">
      <c r="B12" s="341" t="s">
        <v>99</v>
      </c>
      <c r="C12" s="343">
        <v>14</v>
      </c>
      <c r="D12" s="73">
        <f t="shared" si="0"/>
        <v>1823793.26</v>
      </c>
      <c r="E12" s="74">
        <f t="shared" si="1"/>
        <v>130270.94714285714</v>
      </c>
      <c r="F12" s="343">
        <v>13</v>
      </c>
      <c r="G12" s="73">
        <v>1592349.29</v>
      </c>
      <c r="H12" s="74">
        <f t="shared" si="2"/>
        <v>122488.40692307692</v>
      </c>
      <c r="I12" s="343"/>
      <c r="J12" s="73"/>
      <c r="K12" s="74"/>
      <c r="L12" s="343">
        <v>1</v>
      </c>
      <c r="M12" s="73">
        <v>231443.97</v>
      </c>
      <c r="N12" s="74">
        <f t="shared" si="3"/>
        <v>231443.97</v>
      </c>
    </row>
    <row r="13" spans="2:14" x14ac:dyDescent="0.2">
      <c r="B13" s="341" t="s">
        <v>100</v>
      </c>
      <c r="C13" s="343">
        <v>14</v>
      </c>
      <c r="D13" s="73">
        <f t="shared" si="0"/>
        <v>1909087.9900000002</v>
      </c>
      <c r="E13" s="74">
        <f t="shared" si="1"/>
        <v>136363.42785714287</v>
      </c>
      <c r="F13" s="343">
        <v>13</v>
      </c>
      <c r="G13" s="73">
        <v>1676748.37</v>
      </c>
      <c r="H13" s="74">
        <f t="shared" si="2"/>
        <v>128980.64384615385</v>
      </c>
      <c r="I13" s="343"/>
      <c r="J13" s="73"/>
      <c r="K13" s="74"/>
      <c r="L13" s="343">
        <v>1</v>
      </c>
      <c r="M13" s="73">
        <v>232339.62</v>
      </c>
      <c r="N13" s="74">
        <f t="shared" si="3"/>
        <v>232339.62</v>
      </c>
    </row>
    <row r="14" spans="2:14" x14ac:dyDescent="0.2">
      <c r="B14" s="341" t="s">
        <v>101</v>
      </c>
      <c r="C14" s="343">
        <v>13</v>
      </c>
      <c r="D14" s="73">
        <f t="shared" si="0"/>
        <v>1713464.7999999998</v>
      </c>
      <c r="E14" s="74">
        <f t="shared" si="1"/>
        <v>131804.9846153846</v>
      </c>
      <c r="F14" s="343">
        <v>12</v>
      </c>
      <c r="G14" s="73">
        <v>1499376.94</v>
      </c>
      <c r="H14" s="74">
        <f t="shared" si="2"/>
        <v>124948.07833333332</v>
      </c>
      <c r="I14" s="343"/>
      <c r="J14" s="73"/>
      <c r="K14" s="74"/>
      <c r="L14" s="343">
        <v>1</v>
      </c>
      <c r="M14" s="73">
        <v>214087.86</v>
      </c>
      <c r="N14" s="74">
        <f t="shared" si="3"/>
        <v>214087.86</v>
      </c>
    </row>
    <row r="15" spans="2:14" x14ac:dyDescent="0.2">
      <c r="B15" s="341" t="s">
        <v>102</v>
      </c>
      <c r="C15" s="343">
        <v>13</v>
      </c>
      <c r="D15" s="73">
        <f t="shared" si="0"/>
        <v>1797788.97</v>
      </c>
      <c r="E15" s="74">
        <f t="shared" si="1"/>
        <v>138291.45923076922</v>
      </c>
      <c r="F15" s="343">
        <v>12</v>
      </c>
      <c r="G15" s="73">
        <v>1565474.3</v>
      </c>
      <c r="H15" s="74">
        <f t="shared" si="2"/>
        <v>130456.19166666667</v>
      </c>
      <c r="I15" s="343"/>
      <c r="J15" s="73"/>
      <c r="K15" s="74"/>
      <c r="L15" s="343">
        <v>1</v>
      </c>
      <c r="M15" s="73">
        <v>232314.67</v>
      </c>
      <c r="N15" s="74">
        <f t="shared" si="3"/>
        <v>232314.67</v>
      </c>
    </row>
    <row r="16" spans="2:14" x14ac:dyDescent="0.2">
      <c r="B16" s="341" t="s">
        <v>103</v>
      </c>
      <c r="C16" s="343">
        <v>13</v>
      </c>
      <c r="D16" s="73">
        <f t="shared" si="0"/>
        <v>1769324.87</v>
      </c>
      <c r="E16" s="74">
        <f t="shared" si="1"/>
        <v>136101.91307692308</v>
      </c>
      <c r="F16" s="343">
        <v>11</v>
      </c>
      <c r="G16" s="73">
        <v>1484253.43</v>
      </c>
      <c r="H16" s="74">
        <f t="shared" si="2"/>
        <v>134932.13</v>
      </c>
      <c r="I16" s="343">
        <v>1</v>
      </c>
      <c r="J16" s="73">
        <v>53492.12</v>
      </c>
      <c r="K16" s="74">
        <f>SUM(J16/I16)</f>
        <v>53492.12</v>
      </c>
      <c r="L16" s="343">
        <v>1</v>
      </c>
      <c r="M16" s="73">
        <v>231579.32</v>
      </c>
      <c r="N16" s="74">
        <f t="shared" si="3"/>
        <v>231579.32</v>
      </c>
    </row>
    <row r="17" spans="1:15" x14ac:dyDescent="0.2">
      <c r="B17" s="341" t="s">
        <v>104</v>
      </c>
      <c r="C17" s="343">
        <v>13</v>
      </c>
      <c r="D17" s="73">
        <f t="shared" si="0"/>
        <v>1800355.3</v>
      </c>
      <c r="E17" s="74">
        <f t="shared" si="1"/>
        <v>138488.86923076923</v>
      </c>
      <c r="F17" s="343">
        <v>11</v>
      </c>
      <c r="G17" s="73">
        <v>1437282.11</v>
      </c>
      <c r="H17" s="74">
        <f t="shared" si="2"/>
        <v>130662.01000000001</v>
      </c>
      <c r="I17" s="343">
        <v>1</v>
      </c>
      <c r="J17" s="73">
        <v>130758.52</v>
      </c>
      <c r="K17" s="74">
        <f>SUM(J17/I17)</f>
        <v>130758.52</v>
      </c>
      <c r="L17" s="343">
        <v>1</v>
      </c>
      <c r="M17" s="73">
        <v>232314.67</v>
      </c>
      <c r="N17" s="74">
        <f t="shared" si="3"/>
        <v>232314.67</v>
      </c>
    </row>
    <row r="18" spans="1:15" x14ac:dyDescent="0.2">
      <c r="B18" s="341" t="s">
        <v>105</v>
      </c>
      <c r="C18" s="343">
        <v>12</v>
      </c>
      <c r="D18" s="73">
        <f t="shared" si="0"/>
        <v>1757951.5999999999</v>
      </c>
      <c r="E18" s="74">
        <f t="shared" si="1"/>
        <v>146495.96666666665</v>
      </c>
      <c r="F18" s="343">
        <v>10</v>
      </c>
      <c r="G18" s="73">
        <v>1394878.41</v>
      </c>
      <c r="H18" s="74">
        <f t="shared" si="2"/>
        <v>139487.84099999999</v>
      </c>
      <c r="I18" s="343">
        <v>1</v>
      </c>
      <c r="J18" s="73">
        <v>130758.52</v>
      </c>
      <c r="K18" s="74">
        <f>SUM(J18/I18)</f>
        <v>130758.52</v>
      </c>
      <c r="L18" s="343">
        <v>1</v>
      </c>
      <c r="M18" s="73">
        <v>232314.67</v>
      </c>
      <c r="N18" s="74">
        <f t="shared" si="3"/>
        <v>232314.67</v>
      </c>
    </row>
    <row r="19" spans="1:15" x14ac:dyDescent="0.2">
      <c r="B19" s="341" t="s">
        <v>106</v>
      </c>
      <c r="C19" s="343">
        <v>11</v>
      </c>
      <c r="D19" s="73">
        <f t="shared" si="0"/>
        <v>1523774.8</v>
      </c>
      <c r="E19" s="74">
        <f t="shared" si="1"/>
        <v>138524.98181818181</v>
      </c>
      <c r="F19" s="343">
        <v>9</v>
      </c>
      <c r="G19" s="73">
        <v>1160701.6100000001</v>
      </c>
      <c r="H19" s="74">
        <f t="shared" si="2"/>
        <v>128966.84555555557</v>
      </c>
      <c r="I19" s="343">
        <v>1</v>
      </c>
      <c r="J19" s="73">
        <v>130758.52</v>
      </c>
      <c r="K19" s="74">
        <f>SUM(J19/I19)</f>
        <v>130758.52</v>
      </c>
      <c r="L19" s="343">
        <v>1</v>
      </c>
      <c r="M19" s="73">
        <v>232314.67</v>
      </c>
      <c r="N19" s="74">
        <f t="shared" si="3"/>
        <v>232314.67</v>
      </c>
    </row>
    <row r="20" spans="1:15" ht="13.5" thickBot="1" x14ac:dyDescent="0.25">
      <c r="B20" s="598" t="s">
        <v>107</v>
      </c>
      <c r="C20" s="635">
        <v>11</v>
      </c>
      <c r="D20" s="87">
        <f t="shared" si="0"/>
        <v>1772252.85</v>
      </c>
      <c r="E20" s="88">
        <f t="shared" si="1"/>
        <v>161113.89545454548</v>
      </c>
      <c r="F20" s="635">
        <v>9</v>
      </c>
      <c r="G20" s="87">
        <v>1380649</v>
      </c>
      <c r="H20" s="88">
        <f t="shared" si="2"/>
        <v>153405.44444444444</v>
      </c>
      <c r="I20" s="635">
        <v>1</v>
      </c>
      <c r="J20" s="87">
        <v>145023.85</v>
      </c>
      <c r="K20" s="88">
        <f>SUM(J20/I20)</f>
        <v>145023.85</v>
      </c>
      <c r="L20" s="635">
        <v>1</v>
      </c>
      <c r="M20" s="87">
        <v>246580</v>
      </c>
      <c r="N20" s="88">
        <f t="shared" si="3"/>
        <v>246580</v>
      </c>
    </row>
    <row r="21" spans="1:15" ht="13.5" thickBot="1" x14ac:dyDescent="0.25">
      <c r="B21" s="602" t="s">
        <v>21</v>
      </c>
      <c r="C21" s="636">
        <f t="shared" ref="C21:N21" si="4">SUM(C9:C20)</f>
        <v>156</v>
      </c>
      <c r="D21" s="637">
        <f t="shared" si="4"/>
        <v>21708579.390000004</v>
      </c>
      <c r="E21" s="638">
        <f t="shared" si="4"/>
        <v>1674655.3700932399</v>
      </c>
      <c r="F21" s="639">
        <f t="shared" si="4"/>
        <v>139</v>
      </c>
      <c r="G21" s="640">
        <f t="shared" si="4"/>
        <v>18340799.850000001</v>
      </c>
      <c r="H21" s="641">
        <f t="shared" si="4"/>
        <v>1590411.1602307693</v>
      </c>
      <c r="I21" s="639">
        <f t="shared" si="4"/>
        <v>5</v>
      </c>
      <c r="J21" s="640">
        <f t="shared" si="4"/>
        <v>590791.53</v>
      </c>
      <c r="K21" s="641">
        <f t="shared" si="4"/>
        <v>590791.53</v>
      </c>
      <c r="L21" s="639">
        <f t="shared" si="4"/>
        <v>12</v>
      </c>
      <c r="M21" s="640">
        <f t="shared" si="4"/>
        <v>2776988.01</v>
      </c>
      <c r="N21" s="641">
        <f t="shared" si="4"/>
        <v>2776988.01</v>
      </c>
    </row>
    <row r="22" spans="1:15" ht="13.5" thickBot="1" x14ac:dyDescent="0.25">
      <c r="B22" s="603" t="s">
        <v>108</v>
      </c>
      <c r="C22" s="601">
        <f t="shared" ref="C22:H22" si="5">SUM(C21/12)</f>
        <v>13</v>
      </c>
      <c r="D22" s="599">
        <f t="shared" si="5"/>
        <v>1809048.2825000004</v>
      </c>
      <c r="E22" s="600">
        <f t="shared" si="5"/>
        <v>139554.61417443666</v>
      </c>
      <c r="F22" s="601">
        <f t="shared" si="5"/>
        <v>11.583333333333334</v>
      </c>
      <c r="G22" s="599">
        <f t="shared" si="5"/>
        <v>1528399.9875</v>
      </c>
      <c r="H22" s="600">
        <f t="shared" si="5"/>
        <v>132534.2633525641</v>
      </c>
      <c r="I22" s="601">
        <f>SUM(I21/5)</f>
        <v>1</v>
      </c>
      <c r="J22" s="599">
        <f>SUM(J21/5)</f>
        <v>118158.30600000001</v>
      </c>
      <c r="K22" s="600">
        <f>SUM(K21/5)</f>
        <v>118158.30600000001</v>
      </c>
      <c r="L22" s="601">
        <f>SUM(L21/12)</f>
        <v>1</v>
      </c>
      <c r="M22" s="599">
        <f>SUM(M21/12)</f>
        <v>231415.66749999998</v>
      </c>
      <c r="N22" s="600">
        <f>SUM(N21/12)</f>
        <v>231415.66749999998</v>
      </c>
    </row>
    <row r="23" spans="1:15" x14ac:dyDescent="0.2">
      <c r="B23" s="451" t="s">
        <v>880</v>
      </c>
      <c r="C23" s="843" t="s">
        <v>881</v>
      </c>
      <c r="D23" s="843"/>
      <c r="E23" s="843"/>
      <c r="F23" s="843"/>
      <c r="G23" s="843"/>
      <c r="H23" s="843"/>
      <c r="I23" s="843"/>
      <c r="J23" s="843"/>
      <c r="K23" s="843"/>
      <c r="L23" s="843"/>
      <c r="M23" s="843"/>
      <c r="N23" s="843"/>
    </row>
    <row r="24" spans="1:15" x14ac:dyDescent="0.2">
      <c r="B24" s="450"/>
      <c r="C24" s="843"/>
      <c r="D24" s="843"/>
      <c r="E24" s="843"/>
      <c r="F24" s="843"/>
      <c r="G24" s="843"/>
      <c r="H24" s="843"/>
      <c r="I24" s="843"/>
      <c r="J24" s="843"/>
      <c r="K24" s="843"/>
      <c r="L24" s="843"/>
      <c r="M24" s="843"/>
      <c r="N24" s="843"/>
    </row>
    <row r="25" spans="1:15" ht="11.25" customHeight="1" x14ac:dyDescent="0.2">
      <c r="B25" s="345" t="s">
        <v>859</v>
      </c>
      <c r="C25" s="345"/>
      <c r="D25" s="345"/>
    </row>
    <row r="26" spans="1:15" x14ac:dyDescent="0.2"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</row>
    <row r="28" spans="1:15" ht="15.75" x14ac:dyDescent="0.2">
      <c r="B28" s="829" t="s">
        <v>853</v>
      </c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1:15" ht="15" thickBot="1" x14ac:dyDescent="0.25">
      <c r="B29" s="346"/>
      <c r="C29" s="332"/>
      <c r="D29" s="332"/>
      <c r="E29" s="332"/>
      <c r="F29" s="332"/>
      <c r="G29" s="173"/>
      <c r="H29" s="173"/>
      <c r="I29" s="173"/>
      <c r="J29" s="173"/>
      <c r="K29" s="173"/>
      <c r="L29" s="173"/>
      <c r="M29" s="173"/>
      <c r="N29" s="38" t="s">
        <v>46</v>
      </c>
    </row>
    <row r="30" spans="1:15" ht="15" customHeight="1" x14ac:dyDescent="0.2">
      <c r="B30" s="844" t="s">
        <v>854</v>
      </c>
      <c r="C30" s="840" t="s">
        <v>21</v>
      </c>
      <c r="D30" s="841"/>
      <c r="E30" s="842"/>
      <c r="F30" s="830" t="s">
        <v>197</v>
      </c>
      <c r="G30" s="831"/>
      <c r="H30" s="832"/>
      <c r="I30" s="830" t="s">
        <v>94</v>
      </c>
      <c r="J30" s="831"/>
      <c r="K30" s="832"/>
      <c r="L30" s="830" t="s">
        <v>95</v>
      </c>
      <c r="M30" s="831"/>
      <c r="N30" s="832"/>
      <c r="O30" s="347"/>
    </row>
    <row r="31" spans="1:15" ht="12.75" customHeight="1" x14ac:dyDescent="0.2">
      <c r="B31" s="845"/>
      <c r="C31" s="835" t="s">
        <v>49</v>
      </c>
      <c r="D31" s="684" t="s">
        <v>196</v>
      </c>
      <c r="E31" s="833" t="s">
        <v>252</v>
      </c>
      <c r="F31" s="835" t="s">
        <v>49</v>
      </c>
      <c r="G31" s="684" t="s">
        <v>196</v>
      </c>
      <c r="H31" s="833" t="s">
        <v>252</v>
      </c>
      <c r="I31" s="835" t="s">
        <v>49</v>
      </c>
      <c r="J31" s="684" t="s">
        <v>196</v>
      </c>
      <c r="K31" s="833" t="s">
        <v>252</v>
      </c>
      <c r="L31" s="835" t="s">
        <v>49</v>
      </c>
      <c r="M31" s="684" t="s">
        <v>196</v>
      </c>
      <c r="N31" s="833" t="s">
        <v>252</v>
      </c>
    </row>
    <row r="32" spans="1:15" ht="21.75" customHeight="1" thickBot="1" x14ac:dyDescent="0.25">
      <c r="A32" s="8"/>
      <c r="B32" s="846"/>
      <c r="C32" s="836"/>
      <c r="D32" s="685"/>
      <c r="E32" s="834"/>
      <c r="F32" s="836"/>
      <c r="G32" s="685"/>
      <c r="H32" s="834"/>
      <c r="I32" s="836"/>
      <c r="J32" s="685"/>
      <c r="K32" s="834"/>
      <c r="L32" s="836"/>
      <c r="M32" s="685"/>
      <c r="N32" s="834"/>
    </row>
    <row r="33" spans="1:14" ht="14.25" customHeight="1" x14ac:dyDescent="0.2">
      <c r="A33" s="8"/>
      <c r="B33" s="348" t="s">
        <v>96</v>
      </c>
      <c r="C33" s="629">
        <f>SUM(F33,I33,L33)</f>
        <v>12</v>
      </c>
      <c r="D33" s="86">
        <f>SUM(G33,J33,M33)</f>
        <v>2020875</v>
      </c>
      <c r="E33" s="86">
        <f>SUM(D33/C33)</f>
        <v>168406.25</v>
      </c>
      <c r="F33" s="86">
        <v>10</v>
      </c>
      <c r="G33" s="86">
        <v>1612492</v>
      </c>
      <c r="H33" s="86">
        <f>SUM(G33/F33)</f>
        <v>161249.20000000001</v>
      </c>
      <c r="I33" s="86">
        <v>1</v>
      </c>
      <c r="J33" s="86">
        <v>155452</v>
      </c>
      <c r="K33" s="86">
        <f>SUM(J33/I33)</f>
        <v>155452</v>
      </c>
      <c r="L33" s="86">
        <v>1</v>
      </c>
      <c r="M33" s="86">
        <v>252931</v>
      </c>
      <c r="N33" s="89">
        <f>SUM(M33/L33)</f>
        <v>252931</v>
      </c>
    </row>
    <row r="34" spans="1:14" ht="14.25" customHeight="1" x14ac:dyDescent="0.2">
      <c r="A34" s="8"/>
      <c r="B34" s="349" t="s">
        <v>97</v>
      </c>
      <c r="C34" s="343">
        <f t="shared" ref="C34:C44" si="6">SUM(F34,I34,L34)</f>
        <v>12</v>
      </c>
      <c r="D34" s="73">
        <f t="shared" ref="D34:D44" si="7">SUM(G34,J34,M34)</f>
        <v>2020875</v>
      </c>
      <c r="E34" s="73">
        <f t="shared" ref="E34:E44" si="8">SUM(D34/C34)</f>
        <v>168406.25</v>
      </c>
      <c r="F34" s="73">
        <v>10</v>
      </c>
      <c r="G34" s="86">
        <v>1612492</v>
      </c>
      <c r="H34" s="73">
        <f t="shared" ref="H34:H44" si="9">SUM(G34/F34)</f>
        <v>161249.20000000001</v>
      </c>
      <c r="I34" s="86">
        <v>1</v>
      </c>
      <c r="J34" s="86">
        <v>155452</v>
      </c>
      <c r="K34" s="73">
        <f t="shared" ref="K34:K44" si="10">SUM(J34/I34)</f>
        <v>155452</v>
      </c>
      <c r="L34" s="73">
        <v>1</v>
      </c>
      <c r="M34" s="73">
        <v>252931</v>
      </c>
      <c r="N34" s="74">
        <f t="shared" ref="N34:N44" si="11">SUM(M34/L34)</f>
        <v>252931</v>
      </c>
    </row>
    <row r="35" spans="1:14" ht="14.25" customHeight="1" x14ac:dyDescent="0.2">
      <c r="A35" s="8"/>
      <c r="B35" s="349" t="s">
        <v>98</v>
      </c>
      <c r="C35" s="343">
        <f t="shared" si="6"/>
        <v>12</v>
      </c>
      <c r="D35" s="73">
        <f t="shared" si="7"/>
        <v>2020875</v>
      </c>
      <c r="E35" s="73">
        <f t="shared" si="8"/>
        <v>168406.25</v>
      </c>
      <c r="F35" s="73">
        <v>10</v>
      </c>
      <c r="G35" s="86">
        <v>1612492</v>
      </c>
      <c r="H35" s="73">
        <f t="shared" si="9"/>
        <v>161249.20000000001</v>
      </c>
      <c r="I35" s="86">
        <v>1</v>
      </c>
      <c r="J35" s="86">
        <v>155452</v>
      </c>
      <c r="K35" s="73">
        <f t="shared" si="10"/>
        <v>155452</v>
      </c>
      <c r="L35" s="73">
        <v>1</v>
      </c>
      <c r="M35" s="73">
        <v>252931</v>
      </c>
      <c r="N35" s="74">
        <f t="shared" si="11"/>
        <v>252931</v>
      </c>
    </row>
    <row r="36" spans="1:14" ht="14.25" customHeight="1" x14ac:dyDescent="0.2">
      <c r="A36" s="8"/>
      <c r="B36" s="349" t="s">
        <v>99</v>
      </c>
      <c r="C36" s="343">
        <f t="shared" si="6"/>
        <v>12</v>
      </c>
      <c r="D36" s="73">
        <f t="shared" si="7"/>
        <v>2020875</v>
      </c>
      <c r="E36" s="73">
        <f t="shared" si="8"/>
        <v>168406.25</v>
      </c>
      <c r="F36" s="73">
        <v>10</v>
      </c>
      <c r="G36" s="86">
        <v>1612492</v>
      </c>
      <c r="H36" s="73">
        <f t="shared" si="9"/>
        <v>161249.20000000001</v>
      </c>
      <c r="I36" s="86">
        <v>1</v>
      </c>
      <c r="J36" s="86">
        <v>155452</v>
      </c>
      <c r="K36" s="73">
        <f t="shared" si="10"/>
        <v>155452</v>
      </c>
      <c r="L36" s="73">
        <v>1</v>
      </c>
      <c r="M36" s="73">
        <v>252931</v>
      </c>
      <c r="N36" s="74">
        <f t="shared" si="11"/>
        <v>252931</v>
      </c>
    </row>
    <row r="37" spans="1:14" ht="14.25" customHeight="1" x14ac:dyDescent="0.2">
      <c r="A37" s="8"/>
      <c r="B37" s="349" t="s">
        <v>100</v>
      </c>
      <c r="C37" s="343">
        <f t="shared" si="6"/>
        <v>12</v>
      </c>
      <c r="D37" s="73">
        <f t="shared" si="7"/>
        <v>2020875</v>
      </c>
      <c r="E37" s="73">
        <f t="shared" si="8"/>
        <v>168406.25</v>
      </c>
      <c r="F37" s="73">
        <v>10</v>
      </c>
      <c r="G37" s="86">
        <v>1612492</v>
      </c>
      <c r="H37" s="73">
        <f t="shared" si="9"/>
        <v>161249.20000000001</v>
      </c>
      <c r="I37" s="86">
        <v>1</v>
      </c>
      <c r="J37" s="86">
        <v>155452</v>
      </c>
      <c r="K37" s="73">
        <f t="shared" si="10"/>
        <v>155452</v>
      </c>
      <c r="L37" s="73">
        <v>1</v>
      </c>
      <c r="M37" s="73">
        <v>252931</v>
      </c>
      <c r="N37" s="74">
        <f t="shared" si="11"/>
        <v>252931</v>
      </c>
    </row>
    <row r="38" spans="1:14" ht="14.25" customHeight="1" x14ac:dyDescent="0.2">
      <c r="A38" s="8"/>
      <c r="B38" s="349" t="s">
        <v>101</v>
      </c>
      <c r="C38" s="343">
        <f t="shared" si="6"/>
        <v>12</v>
      </c>
      <c r="D38" s="73">
        <f t="shared" si="7"/>
        <v>2020875</v>
      </c>
      <c r="E38" s="73">
        <f t="shared" si="8"/>
        <v>168406.25</v>
      </c>
      <c r="F38" s="73">
        <v>10</v>
      </c>
      <c r="G38" s="86">
        <v>1612492</v>
      </c>
      <c r="H38" s="73">
        <f t="shared" si="9"/>
        <v>161249.20000000001</v>
      </c>
      <c r="I38" s="86">
        <v>1</v>
      </c>
      <c r="J38" s="86">
        <v>155452</v>
      </c>
      <c r="K38" s="73">
        <f t="shared" si="10"/>
        <v>155452</v>
      </c>
      <c r="L38" s="73">
        <v>1</v>
      </c>
      <c r="M38" s="73">
        <v>252931</v>
      </c>
      <c r="N38" s="74">
        <f t="shared" si="11"/>
        <v>252931</v>
      </c>
    </row>
    <row r="39" spans="1:14" ht="14.25" customHeight="1" x14ac:dyDescent="0.2">
      <c r="A39" s="8"/>
      <c r="B39" s="349" t="s">
        <v>102</v>
      </c>
      <c r="C39" s="343">
        <f t="shared" si="6"/>
        <v>12</v>
      </c>
      <c r="D39" s="73">
        <f t="shared" si="7"/>
        <v>2020875</v>
      </c>
      <c r="E39" s="73">
        <f t="shared" si="8"/>
        <v>168406.25</v>
      </c>
      <c r="F39" s="73">
        <v>10</v>
      </c>
      <c r="G39" s="86">
        <v>1612492</v>
      </c>
      <c r="H39" s="73">
        <f t="shared" si="9"/>
        <v>161249.20000000001</v>
      </c>
      <c r="I39" s="86">
        <v>1</v>
      </c>
      <c r="J39" s="86">
        <v>155452</v>
      </c>
      <c r="K39" s="73">
        <f t="shared" si="10"/>
        <v>155452</v>
      </c>
      <c r="L39" s="73">
        <v>1</v>
      </c>
      <c r="M39" s="73">
        <v>252931</v>
      </c>
      <c r="N39" s="74">
        <f t="shared" si="11"/>
        <v>252931</v>
      </c>
    </row>
    <row r="40" spans="1:14" ht="14.25" customHeight="1" x14ac:dyDescent="0.2">
      <c r="A40" s="8"/>
      <c r="B40" s="349" t="s">
        <v>103</v>
      </c>
      <c r="C40" s="343">
        <f t="shared" si="6"/>
        <v>12</v>
      </c>
      <c r="D40" s="73">
        <f t="shared" si="7"/>
        <v>2020875</v>
      </c>
      <c r="E40" s="73">
        <f t="shared" si="8"/>
        <v>168406.25</v>
      </c>
      <c r="F40" s="73">
        <v>10</v>
      </c>
      <c r="G40" s="86">
        <v>1612492</v>
      </c>
      <c r="H40" s="73">
        <f t="shared" si="9"/>
        <v>161249.20000000001</v>
      </c>
      <c r="I40" s="86">
        <v>1</v>
      </c>
      <c r="J40" s="86">
        <v>155452</v>
      </c>
      <c r="K40" s="73">
        <f t="shared" si="10"/>
        <v>155452</v>
      </c>
      <c r="L40" s="73">
        <v>1</v>
      </c>
      <c r="M40" s="73">
        <v>252931</v>
      </c>
      <c r="N40" s="74">
        <f t="shared" si="11"/>
        <v>252931</v>
      </c>
    </row>
    <row r="41" spans="1:14" ht="14.25" customHeight="1" x14ac:dyDescent="0.2">
      <c r="A41" s="8"/>
      <c r="B41" s="349" t="s">
        <v>104</v>
      </c>
      <c r="C41" s="343">
        <f t="shared" si="6"/>
        <v>12</v>
      </c>
      <c r="D41" s="73">
        <f t="shared" si="7"/>
        <v>2020875</v>
      </c>
      <c r="E41" s="73">
        <f t="shared" si="8"/>
        <v>168406.25</v>
      </c>
      <c r="F41" s="73">
        <v>10</v>
      </c>
      <c r="G41" s="86">
        <v>1612492</v>
      </c>
      <c r="H41" s="73">
        <f t="shared" si="9"/>
        <v>161249.20000000001</v>
      </c>
      <c r="I41" s="86">
        <v>1</v>
      </c>
      <c r="J41" s="86">
        <v>155452</v>
      </c>
      <c r="K41" s="73">
        <f t="shared" si="10"/>
        <v>155452</v>
      </c>
      <c r="L41" s="73">
        <v>1</v>
      </c>
      <c r="M41" s="73">
        <v>252931</v>
      </c>
      <c r="N41" s="74">
        <f t="shared" si="11"/>
        <v>252931</v>
      </c>
    </row>
    <row r="42" spans="1:14" ht="14.25" customHeight="1" x14ac:dyDescent="0.2">
      <c r="A42" s="8"/>
      <c r="B42" s="349" t="s">
        <v>105</v>
      </c>
      <c r="C42" s="343">
        <f t="shared" si="6"/>
        <v>12</v>
      </c>
      <c r="D42" s="73">
        <f t="shared" si="7"/>
        <v>2020875</v>
      </c>
      <c r="E42" s="73">
        <f t="shared" si="8"/>
        <v>168406.25</v>
      </c>
      <c r="F42" s="73">
        <v>10</v>
      </c>
      <c r="G42" s="86">
        <v>1612492</v>
      </c>
      <c r="H42" s="73">
        <f t="shared" si="9"/>
        <v>161249.20000000001</v>
      </c>
      <c r="I42" s="86">
        <v>1</v>
      </c>
      <c r="J42" s="86">
        <v>155452</v>
      </c>
      <c r="K42" s="73">
        <f t="shared" si="10"/>
        <v>155452</v>
      </c>
      <c r="L42" s="73">
        <v>1</v>
      </c>
      <c r="M42" s="73">
        <v>252931</v>
      </c>
      <c r="N42" s="74">
        <f t="shared" si="11"/>
        <v>252931</v>
      </c>
    </row>
    <row r="43" spans="1:14" ht="14.25" customHeight="1" x14ac:dyDescent="0.2">
      <c r="A43" s="8"/>
      <c r="B43" s="349" t="s">
        <v>106</v>
      </c>
      <c r="C43" s="343">
        <f t="shared" si="6"/>
        <v>12</v>
      </c>
      <c r="D43" s="73">
        <f t="shared" si="7"/>
        <v>2020875</v>
      </c>
      <c r="E43" s="73">
        <f t="shared" si="8"/>
        <v>168406.25</v>
      </c>
      <c r="F43" s="73">
        <v>10</v>
      </c>
      <c r="G43" s="86">
        <v>1612492</v>
      </c>
      <c r="H43" s="73">
        <f t="shared" si="9"/>
        <v>161249.20000000001</v>
      </c>
      <c r="I43" s="86">
        <v>1</v>
      </c>
      <c r="J43" s="86">
        <v>155452</v>
      </c>
      <c r="K43" s="73">
        <f t="shared" si="10"/>
        <v>155452</v>
      </c>
      <c r="L43" s="73">
        <v>1</v>
      </c>
      <c r="M43" s="73">
        <v>252931</v>
      </c>
      <c r="N43" s="74">
        <f t="shared" si="11"/>
        <v>252931</v>
      </c>
    </row>
    <row r="44" spans="1:14" ht="14.25" customHeight="1" thickBot="1" x14ac:dyDescent="0.25">
      <c r="A44" s="8"/>
      <c r="B44" s="642" t="s">
        <v>107</v>
      </c>
      <c r="C44" s="635">
        <f t="shared" si="6"/>
        <v>12</v>
      </c>
      <c r="D44" s="87">
        <f t="shared" si="7"/>
        <v>2020875</v>
      </c>
      <c r="E44" s="87">
        <f t="shared" si="8"/>
        <v>168406.25</v>
      </c>
      <c r="F44" s="87">
        <v>10</v>
      </c>
      <c r="G44" s="86">
        <v>1612492</v>
      </c>
      <c r="H44" s="87">
        <f t="shared" si="9"/>
        <v>161249.20000000001</v>
      </c>
      <c r="I44" s="86">
        <v>1</v>
      </c>
      <c r="J44" s="86">
        <v>155452</v>
      </c>
      <c r="K44" s="87">
        <f t="shared" si="10"/>
        <v>155452</v>
      </c>
      <c r="L44" s="87">
        <v>1</v>
      </c>
      <c r="M44" s="87">
        <v>252931</v>
      </c>
      <c r="N44" s="88">
        <f t="shared" si="11"/>
        <v>252931</v>
      </c>
    </row>
    <row r="45" spans="1:14" ht="14.25" customHeight="1" thickBot="1" x14ac:dyDescent="0.25">
      <c r="A45" s="8"/>
      <c r="B45" s="644" t="s">
        <v>21</v>
      </c>
      <c r="C45" s="636">
        <f>SUM(C33:C44)</f>
        <v>144</v>
      </c>
      <c r="D45" s="637">
        <f t="shared" ref="D45:N45" si="12">SUM(D33:D44)</f>
        <v>24250500</v>
      </c>
      <c r="E45" s="637">
        <f t="shared" si="12"/>
        <v>2020875</v>
      </c>
      <c r="F45" s="637">
        <f t="shared" si="12"/>
        <v>120</v>
      </c>
      <c r="G45" s="637">
        <f t="shared" si="12"/>
        <v>19349904</v>
      </c>
      <c r="H45" s="637">
        <f t="shared" si="12"/>
        <v>1934990.3999999997</v>
      </c>
      <c r="I45" s="637">
        <f t="shared" si="12"/>
        <v>12</v>
      </c>
      <c r="J45" s="637">
        <f t="shared" si="12"/>
        <v>1865424</v>
      </c>
      <c r="K45" s="637">
        <f t="shared" si="12"/>
        <v>1865424</v>
      </c>
      <c r="L45" s="637">
        <f t="shared" si="12"/>
        <v>12</v>
      </c>
      <c r="M45" s="637">
        <f t="shared" si="12"/>
        <v>3035172</v>
      </c>
      <c r="N45" s="638">
        <f t="shared" si="12"/>
        <v>3035172</v>
      </c>
    </row>
    <row r="46" spans="1:14" ht="14.25" customHeight="1" thickBot="1" x14ac:dyDescent="0.25">
      <c r="A46" s="8"/>
      <c r="B46" s="643" t="s">
        <v>108</v>
      </c>
      <c r="C46" s="601">
        <f>SUM(C45/12)</f>
        <v>12</v>
      </c>
      <c r="D46" s="599">
        <f t="shared" ref="D46:N46" si="13">SUM(D45/12)</f>
        <v>2020875</v>
      </c>
      <c r="E46" s="599">
        <f t="shared" si="13"/>
        <v>168406.25</v>
      </c>
      <c r="F46" s="599">
        <f t="shared" si="13"/>
        <v>10</v>
      </c>
      <c r="G46" s="599">
        <f t="shared" si="13"/>
        <v>1612492</v>
      </c>
      <c r="H46" s="599">
        <f t="shared" si="13"/>
        <v>161249.19999999998</v>
      </c>
      <c r="I46" s="599">
        <f t="shared" si="13"/>
        <v>1</v>
      </c>
      <c r="J46" s="599">
        <f t="shared" si="13"/>
        <v>155452</v>
      </c>
      <c r="K46" s="599">
        <f t="shared" si="13"/>
        <v>155452</v>
      </c>
      <c r="L46" s="599">
        <f t="shared" si="13"/>
        <v>1</v>
      </c>
      <c r="M46" s="599">
        <f t="shared" si="13"/>
        <v>252931</v>
      </c>
      <c r="N46" s="600">
        <f t="shared" si="13"/>
        <v>252931</v>
      </c>
    </row>
    <row r="47" spans="1:14" ht="14.25" x14ac:dyDescent="0.2">
      <c r="B47" s="847" t="s">
        <v>855</v>
      </c>
      <c r="C47" s="847"/>
      <c r="D47" s="847"/>
      <c r="E47" s="847"/>
      <c r="F47" s="847"/>
      <c r="G47" s="847"/>
      <c r="H47" s="847"/>
      <c r="I47" s="847"/>
      <c r="J47" s="847"/>
      <c r="K47" s="847"/>
      <c r="L47" s="847"/>
      <c r="M47" s="847"/>
      <c r="N47" s="173"/>
    </row>
    <row r="51" spans="2:14" ht="15.75" x14ac:dyDescent="0.2">
      <c r="B51" s="829" t="s">
        <v>856</v>
      </c>
      <c r="C51" s="829"/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5" thickBot="1" x14ac:dyDescent="0.25">
      <c r="B52" s="346"/>
      <c r="C52" s="332"/>
      <c r="D52" s="332"/>
      <c r="E52" s="332"/>
      <c r="F52" s="332"/>
      <c r="G52" s="173"/>
      <c r="H52" s="173"/>
      <c r="I52" s="173"/>
      <c r="J52" s="173"/>
      <c r="K52" s="173"/>
      <c r="L52" s="173"/>
      <c r="M52" s="173"/>
      <c r="N52" s="38" t="s">
        <v>46</v>
      </c>
    </row>
    <row r="53" spans="2:14" ht="15" customHeight="1" x14ac:dyDescent="0.2">
      <c r="B53" s="844" t="s">
        <v>854</v>
      </c>
      <c r="C53" s="840" t="s">
        <v>21</v>
      </c>
      <c r="D53" s="841"/>
      <c r="E53" s="842"/>
      <c r="F53" s="830" t="s">
        <v>197</v>
      </c>
      <c r="G53" s="831"/>
      <c r="H53" s="832"/>
      <c r="I53" s="830" t="s">
        <v>94</v>
      </c>
      <c r="J53" s="831"/>
      <c r="K53" s="832"/>
      <c r="L53" s="830" t="s">
        <v>95</v>
      </c>
      <c r="M53" s="831"/>
      <c r="N53" s="832"/>
    </row>
    <row r="54" spans="2:14" ht="12.75" customHeight="1" x14ac:dyDescent="0.2">
      <c r="B54" s="845"/>
      <c r="C54" s="835" t="s">
        <v>49</v>
      </c>
      <c r="D54" s="684" t="s">
        <v>196</v>
      </c>
      <c r="E54" s="833" t="s">
        <v>252</v>
      </c>
      <c r="F54" s="835" t="s">
        <v>49</v>
      </c>
      <c r="G54" s="684" t="s">
        <v>196</v>
      </c>
      <c r="H54" s="833" t="s">
        <v>252</v>
      </c>
      <c r="I54" s="835" t="s">
        <v>49</v>
      </c>
      <c r="J54" s="684" t="s">
        <v>196</v>
      </c>
      <c r="K54" s="833" t="s">
        <v>252</v>
      </c>
      <c r="L54" s="835" t="s">
        <v>49</v>
      </c>
      <c r="M54" s="684" t="s">
        <v>196</v>
      </c>
      <c r="N54" s="833" t="s">
        <v>252</v>
      </c>
    </row>
    <row r="55" spans="2:14" ht="13.5" thickBot="1" x14ac:dyDescent="0.25">
      <c r="B55" s="848"/>
      <c r="C55" s="836"/>
      <c r="D55" s="685"/>
      <c r="E55" s="834"/>
      <c r="F55" s="836"/>
      <c r="G55" s="685"/>
      <c r="H55" s="834"/>
      <c r="I55" s="836"/>
      <c r="J55" s="685"/>
      <c r="K55" s="834"/>
      <c r="L55" s="836"/>
      <c r="M55" s="685"/>
      <c r="N55" s="834"/>
    </row>
    <row r="56" spans="2:14" x14ac:dyDescent="0.2">
      <c r="B56" s="351" t="s">
        <v>96</v>
      </c>
      <c r="C56" s="629">
        <f>SUM(F56,I56,L56)</f>
        <v>12</v>
      </c>
      <c r="D56" s="86">
        <f>SUM(G56,J56,M56)</f>
        <v>2327041.65</v>
      </c>
      <c r="E56" s="89">
        <f>SUM(D56/C56)</f>
        <v>193920.13749999998</v>
      </c>
      <c r="F56" s="629">
        <v>10</v>
      </c>
      <c r="G56" s="86">
        <v>1856789</v>
      </c>
      <c r="H56" s="89">
        <f>SUM(G56/F56)</f>
        <v>185678.9</v>
      </c>
      <c r="I56" s="629">
        <v>1</v>
      </c>
      <c r="J56" s="86">
        <v>179003</v>
      </c>
      <c r="K56" s="89">
        <f>SUM(J56/I56)</f>
        <v>179003</v>
      </c>
      <c r="L56" s="629">
        <v>1</v>
      </c>
      <c r="M56" s="86">
        <v>291249.65000000002</v>
      </c>
      <c r="N56" s="630">
        <f>SUM(M56/L56)</f>
        <v>291249.65000000002</v>
      </c>
    </row>
    <row r="57" spans="2:14" x14ac:dyDescent="0.2">
      <c r="B57" s="352" t="s">
        <v>97</v>
      </c>
      <c r="C57" s="343">
        <f t="shared" ref="C57:C67" si="14">SUM(F57,I57,L57)</f>
        <v>12</v>
      </c>
      <c r="D57" s="73">
        <f t="shared" ref="D57:D67" si="15">SUM(G57,J57,M57)</f>
        <v>2327041.65</v>
      </c>
      <c r="E57" s="74">
        <f t="shared" ref="E57:E67" si="16">SUM(D57/C57)</f>
        <v>193920.13749999998</v>
      </c>
      <c r="F57" s="629">
        <v>10</v>
      </c>
      <c r="G57" s="86">
        <v>1856789</v>
      </c>
      <c r="H57" s="74">
        <f t="shared" ref="H57:H67" si="17">SUM(G57/F57)</f>
        <v>185678.9</v>
      </c>
      <c r="I57" s="629">
        <v>1</v>
      </c>
      <c r="J57" s="86">
        <v>179003</v>
      </c>
      <c r="K57" s="74">
        <f t="shared" ref="K57:K67" si="18">SUM(J57/I57)</f>
        <v>179003</v>
      </c>
      <c r="L57" s="343">
        <v>1</v>
      </c>
      <c r="M57" s="73">
        <v>291249.65000000002</v>
      </c>
      <c r="N57" s="630">
        <f t="shared" ref="N57:N67" si="19">SUM(M57/L57)</f>
        <v>291249.65000000002</v>
      </c>
    </row>
    <row r="58" spans="2:14" x14ac:dyDescent="0.2">
      <c r="B58" s="352" t="s">
        <v>98</v>
      </c>
      <c r="C58" s="343">
        <f t="shared" si="14"/>
        <v>12</v>
      </c>
      <c r="D58" s="73">
        <f t="shared" si="15"/>
        <v>2327041.65</v>
      </c>
      <c r="E58" s="74">
        <f t="shared" si="16"/>
        <v>193920.13749999998</v>
      </c>
      <c r="F58" s="629">
        <v>10</v>
      </c>
      <c r="G58" s="86">
        <v>1856789</v>
      </c>
      <c r="H58" s="74">
        <f t="shared" si="17"/>
        <v>185678.9</v>
      </c>
      <c r="I58" s="629">
        <v>1</v>
      </c>
      <c r="J58" s="86">
        <v>179003</v>
      </c>
      <c r="K58" s="74">
        <f t="shared" si="18"/>
        <v>179003</v>
      </c>
      <c r="L58" s="343">
        <v>1</v>
      </c>
      <c r="M58" s="73">
        <v>291249.65000000002</v>
      </c>
      <c r="N58" s="630">
        <f t="shared" si="19"/>
        <v>291249.65000000002</v>
      </c>
    </row>
    <row r="59" spans="2:14" x14ac:dyDescent="0.2">
      <c r="B59" s="352" t="s">
        <v>99</v>
      </c>
      <c r="C59" s="343">
        <f t="shared" si="14"/>
        <v>12</v>
      </c>
      <c r="D59" s="73">
        <f t="shared" si="15"/>
        <v>2327041.65</v>
      </c>
      <c r="E59" s="74">
        <f t="shared" si="16"/>
        <v>193920.13749999998</v>
      </c>
      <c r="F59" s="629">
        <v>10</v>
      </c>
      <c r="G59" s="86">
        <v>1856789</v>
      </c>
      <c r="H59" s="74">
        <f t="shared" si="17"/>
        <v>185678.9</v>
      </c>
      <c r="I59" s="629">
        <v>1</v>
      </c>
      <c r="J59" s="86">
        <v>179003</v>
      </c>
      <c r="K59" s="74">
        <f t="shared" si="18"/>
        <v>179003</v>
      </c>
      <c r="L59" s="343">
        <v>1</v>
      </c>
      <c r="M59" s="73">
        <v>291249.65000000002</v>
      </c>
      <c r="N59" s="630">
        <f t="shared" si="19"/>
        <v>291249.65000000002</v>
      </c>
    </row>
    <row r="60" spans="2:14" x14ac:dyDescent="0.2">
      <c r="B60" s="352" t="s">
        <v>100</v>
      </c>
      <c r="C60" s="343">
        <f t="shared" si="14"/>
        <v>12</v>
      </c>
      <c r="D60" s="73">
        <f t="shared" si="15"/>
        <v>2327041.65</v>
      </c>
      <c r="E60" s="74">
        <f t="shared" si="16"/>
        <v>193920.13749999998</v>
      </c>
      <c r="F60" s="629">
        <v>10</v>
      </c>
      <c r="G60" s="86">
        <v>1856789</v>
      </c>
      <c r="H60" s="74">
        <f t="shared" si="17"/>
        <v>185678.9</v>
      </c>
      <c r="I60" s="629">
        <v>1</v>
      </c>
      <c r="J60" s="86">
        <v>179003</v>
      </c>
      <c r="K60" s="74">
        <f t="shared" si="18"/>
        <v>179003</v>
      </c>
      <c r="L60" s="343">
        <v>1</v>
      </c>
      <c r="M60" s="73">
        <v>291249.65000000002</v>
      </c>
      <c r="N60" s="630">
        <f t="shared" si="19"/>
        <v>291249.65000000002</v>
      </c>
    </row>
    <row r="61" spans="2:14" x14ac:dyDescent="0.2">
      <c r="B61" s="352" t="s">
        <v>101</v>
      </c>
      <c r="C61" s="343">
        <f t="shared" si="14"/>
        <v>12</v>
      </c>
      <c r="D61" s="73">
        <f t="shared" si="15"/>
        <v>2327041.65</v>
      </c>
      <c r="E61" s="74">
        <f t="shared" si="16"/>
        <v>193920.13749999998</v>
      </c>
      <c r="F61" s="629">
        <v>10</v>
      </c>
      <c r="G61" s="86">
        <v>1856789</v>
      </c>
      <c r="H61" s="74">
        <f t="shared" si="17"/>
        <v>185678.9</v>
      </c>
      <c r="I61" s="629">
        <v>1</v>
      </c>
      <c r="J61" s="86">
        <v>179003</v>
      </c>
      <c r="K61" s="74">
        <f t="shared" si="18"/>
        <v>179003</v>
      </c>
      <c r="L61" s="343">
        <v>1</v>
      </c>
      <c r="M61" s="73">
        <v>291249.65000000002</v>
      </c>
      <c r="N61" s="630">
        <f t="shared" si="19"/>
        <v>291249.65000000002</v>
      </c>
    </row>
    <row r="62" spans="2:14" x14ac:dyDescent="0.2">
      <c r="B62" s="352" t="s">
        <v>102</v>
      </c>
      <c r="C62" s="343">
        <f t="shared" si="14"/>
        <v>12</v>
      </c>
      <c r="D62" s="73">
        <f t="shared" si="15"/>
        <v>2327041.65</v>
      </c>
      <c r="E62" s="74">
        <f t="shared" si="16"/>
        <v>193920.13749999998</v>
      </c>
      <c r="F62" s="629">
        <v>10</v>
      </c>
      <c r="G62" s="86">
        <v>1856789</v>
      </c>
      <c r="H62" s="74">
        <f t="shared" si="17"/>
        <v>185678.9</v>
      </c>
      <c r="I62" s="629">
        <v>1</v>
      </c>
      <c r="J62" s="86">
        <v>179003</v>
      </c>
      <c r="K62" s="74">
        <f t="shared" si="18"/>
        <v>179003</v>
      </c>
      <c r="L62" s="343">
        <v>1</v>
      </c>
      <c r="M62" s="73">
        <v>291249.65000000002</v>
      </c>
      <c r="N62" s="630">
        <f t="shared" si="19"/>
        <v>291249.65000000002</v>
      </c>
    </row>
    <row r="63" spans="2:14" x14ac:dyDescent="0.2">
      <c r="B63" s="352" t="s">
        <v>103</v>
      </c>
      <c r="C63" s="343">
        <f t="shared" si="14"/>
        <v>12</v>
      </c>
      <c r="D63" s="73">
        <f t="shared" si="15"/>
        <v>2327041.65</v>
      </c>
      <c r="E63" s="74">
        <f t="shared" si="16"/>
        <v>193920.13749999998</v>
      </c>
      <c r="F63" s="629">
        <v>10</v>
      </c>
      <c r="G63" s="86">
        <v>1856789</v>
      </c>
      <c r="H63" s="74">
        <f t="shared" si="17"/>
        <v>185678.9</v>
      </c>
      <c r="I63" s="629">
        <v>1</v>
      </c>
      <c r="J63" s="86">
        <v>179003</v>
      </c>
      <c r="K63" s="74">
        <f t="shared" si="18"/>
        <v>179003</v>
      </c>
      <c r="L63" s="343">
        <v>1</v>
      </c>
      <c r="M63" s="73">
        <v>291249.65000000002</v>
      </c>
      <c r="N63" s="630">
        <f t="shared" si="19"/>
        <v>291249.65000000002</v>
      </c>
    </row>
    <row r="64" spans="2:14" x14ac:dyDescent="0.2">
      <c r="B64" s="352" t="s">
        <v>104</v>
      </c>
      <c r="C64" s="343">
        <f t="shared" si="14"/>
        <v>12</v>
      </c>
      <c r="D64" s="73">
        <f t="shared" si="15"/>
        <v>2327041.65</v>
      </c>
      <c r="E64" s="74">
        <f t="shared" si="16"/>
        <v>193920.13749999998</v>
      </c>
      <c r="F64" s="629">
        <v>10</v>
      </c>
      <c r="G64" s="86">
        <v>1856789</v>
      </c>
      <c r="H64" s="74">
        <f t="shared" si="17"/>
        <v>185678.9</v>
      </c>
      <c r="I64" s="629">
        <v>1</v>
      </c>
      <c r="J64" s="86">
        <v>179003</v>
      </c>
      <c r="K64" s="74">
        <f t="shared" si="18"/>
        <v>179003</v>
      </c>
      <c r="L64" s="343">
        <v>1</v>
      </c>
      <c r="M64" s="73">
        <v>291249.65000000002</v>
      </c>
      <c r="N64" s="630">
        <f t="shared" si="19"/>
        <v>291249.65000000002</v>
      </c>
    </row>
    <row r="65" spans="2:14" x14ac:dyDescent="0.2">
      <c r="B65" s="352" t="s">
        <v>105</v>
      </c>
      <c r="C65" s="343">
        <f t="shared" si="14"/>
        <v>12</v>
      </c>
      <c r="D65" s="73">
        <f t="shared" si="15"/>
        <v>2327041.65</v>
      </c>
      <c r="E65" s="74">
        <f t="shared" si="16"/>
        <v>193920.13749999998</v>
      </c>
      <c r="F65" s="629">
        <v>10</v>
      </c>
      <c r="G65" s="86">
        <v>1856789</v>
      </c>
      <c r="H65" s="74">
        <f t="shared" si="17"/>
        <v>185678.9</v>
      </c>
      <c r="I65" s="629">
        <v>1</v>
      </c>
      <c r="J65" s="86">
        <v>179003</v>
      </c>
      <c r="K65" s="74">
        <f t="shared" si="18"/>
        <v>179003</v>
      </c>
      <c r="L65" s="343">
        <v>1</v>
      </c>
      <c r="M65" s="73">
        <v>291249.65000000002</v>
      </c>
      <c r="N65" s="630">
        <f t="shared" si="19"/>
        <v>291249.65000000002</v>
      </c>
    </row>
    <row r="66" spans="2:14" x14ac:dyDescent="0.2">
      <c r="B66" s="352" t="s">
        <v>106</v>
      </c>
      <c r="C66" s="343">
        <f t="shared" si="14"/>
        <v>12</v>
      </c>
      <c r="D66" s="73">
        <f t="shared" si="15"/>
        <v>2327041.65</v>
      </c>
      <c r="E66" s="74">
        <f t="shared" si="16"/>
        <v>193920.13749999998</v>
      </c>
      <c r="F66" s="629">
        <v>10</v>
      </c>
      <c r="G66" s="86">
        <v>1856789</v>
      </c>
      <c r="H66" s="74">
        <f t="shared" si="17"/>
        <v>185678.9</v>
      </c>
      <c r="I66" s="629">
        <v>1</v>
      </c>
      <c r="J66" s="86">
        <v>179003</v>
      </c>
      <c r="K66" s="74">
        <f t="shared" si="18"/>
        <v>179003</v>
      </c>
      <c r="L66" s="343">
        <v>1</v>
      </c>
      <c r="M66" s="73">
        <v>291249.65000000002</v>
      </c>
      <c r="N66" s="630">
        <f t="shared" si="19"/>
        <v>291249.65000000002</v>
      </c>
    </row>
    <row r="67" spans="2:14" ht="13.5" thickBot="1" x14ac:dyDescent="0.25">
      <c r="B67" s="645" t="s">
        <v>107</v>
      </c>
      <c r="C67" s="635">
        <f t="shared" si="14"/>
        <v>12</v>
      </c>
      <c r="D67" s="87">
        <f t="shared" si="15"/>
        <v>2327041.65</v>
      </c>
      <c r="E67" s="88">
        <f t="shared" si="16"/>
        <v>193920.13749999998</v>
      </c>
      <c r="F67" s="646">
        <v>10</v>
      </c>
      <c r="G67" s="86">
        <v>1856789</v>
      </c>
      <c r="H67" s="88">
        <f t="shared" si="17"/>
        <v>185678.9</v>
      </c>
      <c r="I67" s="629">
        <v>1</v>
      </c>
      <c r="J67" s="86">
        <v>179003</v>
      </c>
      <c r="K67" s="88">
        <f t="shared" si="18"/>
        <v>179003</v>
      </c>
      <c r="L67" s="635">
        <v>1</v>
      </c>
      <c r="M67" s="87">
        <v>291249.65000000002</v>
      </c>
      <c r="N67" s="647">
        <f t="shared" si="19"/>
        <v>291249.65000000002</v>
      </c>
    </row>
    <row r="68" spans="2:14" ht="13.5" thickBot="1" x14ac:dyDescent="0.25">
      <c r="B68" s="644" t="s">
        <v>21</v>
      </c>
      <c r="C68" s="636">
        <f t="shared" ref="C68:N68" si="20">SUM(C56:C67)</f>
        <v>144</v>
      </c>
      <c r="D68" s="637">
        <f t="shared" si="20"/>
        <v>27924499.799999993</v>
      </c>
      <c r="E68" s="637">
        <f t="shared" si="20"/>
        <v>2327041.65</v>
      </c>
      <c r="F68" s="636">
        <f t="shared" si="20"/>
        <v>120</v>
      </c>
      <c r="G68" s="636">
        <f t="shared" si="20"/>
        <v>22281468</v>
      </c>
      <c r="H68" s="636">
        <f t="shared" si="20"/>
        <v>2228146.7999999993</v>
      </c>
      <c r="I68" s="650">
        <f t="shared" si="20"/>
        <v>12</v>
      </c>
      <c r="J68" s="637">
        <f t="shared" si="20"/>
        <v>2148036</v>
      </c>
      <c r="K68" s="651">
        <f t="shared" si="20"/>
        <v>2148036</v>
      </c>
      <c r="L68" s="650">
        <f t="shared" si="20"/>
        <v>12</v>
      </c>
      <c r="M68" s="637">
        <f t="shared" si="20"/>
        <v>3494995.7999999993</v>
      </c>
      <c r="N68" s="652">
        <f t="shared" si="20"/>
        <v>3494995.7999999993</v>
      </c>
    </row>
    <row r="69" spans="2:14" ht="13.5" thickBot="1" x14ac:dyDescent="0.25">
      <c r="B69" s="648" t="s">
        <v>108</v>
      </c>
      <c r="C69" s="601">
        <f>SUM(C68/12)</f>
        <v>12</v>
      </c>
      <c r="D69" s="599">
        <f t="shared" ref="D69:N69" si="21">SUM(D68/12)</f>
        <v>2327041.6499999994</v>
      </c>
      <c r="E69" s="600">
        <f t="shared" si="21"/>
        <v>193920.13749999998</v>
      </c>
      <c r="F69" s="601">
        <f t="shared" si="21"/>
        <v>10</v>
      </c>
      <c r="G69" s="599">
        <f t="shared" si="21"/>
        <v>1856789</v>
      </c>
      <c r="H69" s="600">
        <f t="shared" si="21"/>
        <v>185678.89999999994</v>
      </c>
      <c r="I69" s="601">
        <f t="shared" si="21"/>
        <v>1</v>
      </c>
      <c r="J69" s="599">
        <f t="shared" si="21"/>
        <v>179003</v>
      </c>
      <c r="K69" s="600">
        <f t="shared" si="21"/>
        <v>179003</v>
      </c>
      <c r="L69" s="601">
        <f t="shared" si="21"/>
        <v>1</v>
      </c>
      <c r="M69" s="599">
        <f t="shared" si="21"/>
        <v>291249.64999999997</v>
      </c>
      <c r="N69" s="649">
        <f t="shared" si="21"/>
        <v>291249.64999999997</v>
      </c>
    </row>
    <row r="70" spans="2:14" ht="14.25" x14ac:dyDescent="0.2">
      <c r="B70" s="847" t="s">
        <v>855</v>
      </c>
      <c r="C70" s="847"/>
      <c r="D70" s="847"/>
      <c r="E70" s="847"/>
      <c r="F70" s="847"/>
      <c r="G70" s="847"/>
      <c r="H70" s="847"/>
      <c r="I70" s="847"/>
      <c r="J70" s="847"/>
      <c r="K70" s="847"/>
      <c r="L70" s="847"/>
      <c r="M70" s="847"/>
      <c r="N70" s="173"/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G10"/>
  <sheetViews>
    <sheetView showGridLines="0" zoomScale="115" zoomScaleNormal="115" workbookViewId="0">
      <selection activeCell="F7" sqref="F7"/>
    </sheetView>
  </sheetViews>
  <sheetFormatPr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215" t="s">
        <v>755</v>
      </c>
    </row>
    <row r="3" spans="2:7" ht="18" customHeight="1" x14ac:dyDescent="0.25">
      <c r="B3" s="851" t="s">
        <v>401</v>
      </c>
      <c r="C3" s="851"/>
      <c r="D3" s="851"/>
      <c r="E3" s="851"/>
      <c r="F3" s="851"/>
      <c r="G3" s="851"/>
    </row>
    <row r="4" spans="2:7" ht="18" customHeight="1" thickBot="1" x14ac:dyDescent="0.25">
      <c r="B4" s="216"/>
      <c r="C4" s="217"/>
      <c r="D4" s="217"/>
      <c r="E4" s="217"/>
      <c r="F4" s="217"/>
      <c r="G4" s="215" t="s">
        <v>46</v>
      </c>
    </row>
    <row r="5" spans="2:7" ht="20.100000000000001" customHeight="1" thickBot="1" x14ac:dyDescent="0.25">
      <c r="B5" s="852"/>
      <c r="C5" s="853"/>
      <c r="D5" s="856" t="s">
        <v>857</v>
      </c>
      <c r="E5" s="857"/>
      <c r="F5" s="856" t="s">
        <v>858</v>
      </c>
      <c r="G5" s="857"/>
    </row>
    <row r="6" spans="2:7" ht="20.100000000000001" customHeight="1" thickBot="1" x14ac:dyDescent="0.25">
      <c r="B6" s="854"/>
      <c r="C6" s="855"/>
      <c r="D6" s="218" t="s">
        <v>396</v>
      </c>
      <c r="E6" s="219" t="s">
        <v>389</v>
      </c>
      <c r="F6" s="218" t="s">
        <v>396</v>
      </c>
      <c r="G6" s="219" t="s">
        <v>389</v>
      </c>
    </row>
    <row r="7" spans="2:7" ht="20.100000000000001" customHeight="1" x14ac:dyDescent="0.2">
      <c r="B7" s="858" t="s">
        <v>397</v>
      </c>
      <c r="C7" s="220" t="s">
        <v>398</v>
      </c>
      <c r="D7" s="616">
        <v>83670.149999999994</v>
      </c>
      <c r="E7" s="613">
        <v>61152.77</v>
      </c>
      <c r="F7" s="612">
        <v>93363.6</v>
      </c>
      <c r="G7" s="613">
        <v>68357.440000000002</v>
      </c>
    </row>
    <row r="8" spans="2:7" ht="20.100000000000001" customHeight="1" thickBot="1" x14ac:dyDescent="0.25">
      <c r="B8" s="859"/>
      <c r="C8" s="221" t="s">
        <v>399</v>
      </c>
      <c r="D8" s="614">
        <v>189514.32</v>
      </c>
      <c r="E8" s="615">
        <v>135349.54</v>
      </c>
      <c r="F8" s="614">
        <v>177042.04</v>
      </c>
      <c r="G8" s="615">
        <v>126948.77</v>
      </c>
    </row>
    <row r="9" spans="2:7" ht="20.100000000000001" customHeight="1" x14ac:dyDescent="0.2">
      <c r="B9" s="849" t="s">
        <v>400</v>
      </c>
      <c r="C9" s="222" t="s">
        <v>398</v>
      </c>
      <c r="D9" s="612">
        <v>214087.86</v>
      </c>
      <c r="E9" s="613">
        <v>152575.59</v>
      </c>
      <c r="F9" s="612">
        <v>251990.29</v>
      </c>
      <c r="G9" s="613">
        <v>179487.49</v>
      </c>
    </row>
    <row r="10" spans="2:7" ht="20.100000000000001" customHeight="1" thickBot="1" x14ac:dyDescent="0.25">
      <c r="B10" s="850"/>
      <c r="C10" s="221" t="s">
        <v>399</v>
      </c>
      <c r="D10" s="614">
        <v>232339.62</v>
      </c>
      <c r="E10" s="615">
        <v>165370.07</v>
      </c>
      <c r="F10" s="614">
        <v>252930.66</v>
      </c>
      <c r="G10" s="615">
        <v>180146.69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6" tint="0.59999389629810485"/>
  </sheetPr>
  <dimension ref="A2:O49"/>
  <sheetViews>
    <sheetView showGridLines="0" topLeftCell="A22" zoomScale="115" zoomScaleNormal="115" workbookViewId="0">
      <selection activeCell="G47" sqref="G47"/>
    </sheetView>
  </sheetViews>
  <sheetFormatPr defaultColWidth="18" defaultRowHeight="12.75" x14ac:dyDescent="0.2"/>
  <cols>
    <col min="1" max="1" width="2.85546875" style="10" customWidth="1"/>
    <col min="2" max="2" width="11.85546875" style="10" customWidth="1"/>
    <col min="3" max="4" width="12.7109375" style="10" customWidth="1"/>
    <col min="5" max="5" width="12.5703125" style="10" customWidth="1"/>
    <col min="6" max="14" width="12.7109375" style="10" customWidth="1"/>
    <col min="15" max="15" width="13.42578125" style="10" bestFit="1" customWidth="1"/>
    <col min="16" max="254" width="9.140625" style="10" customWidth="1"/>
    <col min="255" max="16384" width="18" style="10"/>
  </cols>
  <sheetData>
    <row r="2" spans="1:15" x14ac:dyDescent="0.2">
      <c r="N2" s="356" t="s">
        <v>792</v>
      </c>
    </row>
    <row r="5" spans="1:15" ht="15.75" customHeight="1" x14ac:dyDescent="0.2">
      <c r="B5" s="885" t="s">
        <v>1038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5"/>
    </row>
    <row r="6" spans="1:15" ht="15.75" customHeight="1" x14ac:dyDescent="0.2">
      <c r="B6" s="885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</row>
    <row r="7" spans="1:15" ht="15" thickBot="1" x14ac:dyDescent="0.25">
      <c r="B7" s="357"/>
      <c r="C7" s="358"/>
      <c r="D7" s="358"/>
      <c r="E7" s="358"/>
      <c r="F7" s="358"/>
      <c r="G7" s="79"/>
      <c r="H7" s="79"/>
      <c r="I7" s="79"/>
      <c r="J7" s="79"/>
      <c r="K7" s="79"/>
      <c r="L7" s="79"/>
      <c r="M7" s="79"/>
      <c r="N7" s="355" t="s">
        <v>46</v>
      </c>
    </row>
    <row r="8" spans="1:15" ht="15" customHeight="1" x14ac:dyDescent="0.2">
      <c r="B8" s="867" t="s">
        <v>860</v>
      </c>
      <c r="C8" s="870" t="s">
        <v>21</v>
      </c>
      <c r="D8" s="871"/>
      <c r="E8" s="872"/>
      <c r="F8" s="860" t="s">
        <v>197</v>
      </c>
      <c r="G8" s="861"/>
      <c r="H8" s="873"/>
      <c r="I8" s="874" t="s">
        <v>94</v>
      </c>
      <c r="J8" s="861"/>
      <c r="K8" s="862"/>
      <c r="L8" s="860" t="s">
        <v>95</v>
      </c>
      <c r="M8" s="861"/>
      <c r="N8" s="862"/>
      <c r="O8" s="359"/>
    </row>
    <row r="9" spans="1:15" ht="12.75" customHeight="1" x14ac:dyDescent="0.2">
      <c r="B9" s="868"/>
      <c r="C9" s="863" t="s">
        <v>49</v>
      </c>
      <c r="D9" s="875" t="s">
        <v>196</v>
      </c>
      <c r="E9" s="877" t="s">
        <v>252</v>
      </c>
      <c r="F9" s="881" t="s">
        <v>49</v>
      </c>
      <c r="G9" s="875" t="s">
        <v>196</v>
      </c>
      <c r="H9" s="865" t="s">
        <v>252</v>
      </c>
      <c r="I9" s="863" t="s">
        <v>49</v>
      </c>
      <c r="J9" s="875" t="s">
        <v>196</v>
      </c>
      <c r="K9" s="877" t="s">
        <v>252</v>
      </c>
      <c r="L9" s="881" t="s">
        <v>49</v>
      </c>
      <c r="M9" s="875" t="s">
        <v>196</v>
      </c>
      <c r="N9" s="877" t="s">
        <v>252</v>
      </c>
    </row>
    <row r="10" spans="1:15" ht="21.75" customHeight="1" thickBot="1" x14ac:dyDescent="0.25">
      <c r="A10" s="360"/>
      <c r="B10" s="869"/>
      <c r="C10" s="864"/>
      <c r="D10" s="876"/>
      <c r="E10" s="878"/>
      <c r="F10" s="883"/>
      <c r="G10" s="876"/>
      <c r="H10" s="866"/>
      <c r="I10" s="864"/>
      <c r="J10" s="876"/>
      <c r="K10" s="878"/>
      <c r="L10" s="883"/>
      <c r="M10" s="876"/>
      <c r="N10" s="878"/>
    </row>
    <row r="11" spans="1:15" ht="14.25" customHeight="1" x14ac:dyDescent="0.2">
      <c r="A11" s="360"/>
      <c r="B11" s="621" t="s">
        <v>96</v>
      </c>
      <c r="C11" s="343">
        <f>SUM(F11,I11,L11)</f>
        <v>12</v>
      </c>
      <c r="D11" s="73">
        <f>SUM(G11,J11,M11)</f>
        <v>2020875</v>
      </c>
      <c r="E11" s="74">
        <f>SUM(D11/C11)</f>
        <v>168406.25</v>
      </c>
      <c r="F11" s="342">
        <v>10</v>
      </c>
      <c r="G11" s="86">
        <v>1612492</v>
      </c>
      <c r="H11" s="633">
        <f>SUM(G11/F11)</f>
        <v>161249.20000000001</v>
      </c>
      <c r="I11" s="343">
        <v>1</v>
      </c>
      <c r="J11" s="86">
        <v>155452</v>
      </c>
      <c r="K11" s="74">
        <f>SUM(J11/I11)</f>
        <v>155452</v>
      </c>
      <c r="L11" s="342">
        <v>1</v>
      </c>
      <c r="M11" s="73">
        <v>252931</v>
      </c>
      <c r="N11" s="74">
        <f>SUM(M11/L11)</f>
        <v>252931</v>
      </c>
    </row>
    <row r="12" spans="1:15" ht="14.25" customHeight="1" x14ac:dyDescent="0.2">
      <c r="A12" s="360"/>
      <c r="B12" s="622" t="s">
        <v>97</v>
      </c>
      <c r="C12" s="343">
        <f t="shared" ref="C12:D22" si="0">SUM(F12,I12,L12)</f>
        <v>12</v>
      </c>
      <c r="D12" s="73">
        <f t="shared" si="0"/>
        <v>2020875</v>
      </c>
      <c r="E12" s="74">
        <f t="shared" ref="E12:E22" si="1">SUM(D12/C12)</f>
        <v>168406.25</v>
      </c>
      <c r="F12" s="342">
        <v>10</v>
      </c>
      <c r="G12" s="86">
        <v>1612492</v>
      </c>
      <c r="H12" s="633">
        <f t="shared" ref="H12:H22" si="2">SUM(G12/F12)</f>
        <v>161249.20000000001</v>
      </c>
      <c r="I12" s="343">
        <v>1</v>
      </c>
      <c r="J12" s="86">
        <v>155452</v>
      </c>
      <c r="K12" s="74">
        <f t="shared" ref="K12:K22" si="3">SUM(J12/I12)</f>
        <v>155452</v>
      </c>
      <c r="L12" s="342">
        <v>1</v>
      </c>
      <c r="M12" s="73">
        <v>252931</v>
      </c>
      <c r="N12" s="74">
        <f t="shared" ref="N12:N22" si="4">SUM(M12/L12)</f>
        <v>252931</v>
      </c>
    </row>
    <row r="13" spans="1:15" ht="14.25" customHeight="1" x14ac:dyDescent="0.2">
      <c r="A13" s="360"/>
      <c r="B13" s="622" t="s">
        <v>98</v>
      </c>
      <c r="C13" s="343">
        <f t="shared" si="0"/>
        <v>12</v>
      </c>
      <c r="D13" s="73">
        <f t="shared" si="0"/>
        <v>2020875</v>
      </c>
      <c r="E13" s="74">
        <f t="shared" si="1"/>
        <v>168406.25</v>
      </c>
      <c r="F13" s="342">
        <v>10</v>
      </c>
      <c r="G13" s="86">
        <v>1612492</v>
      </c>
      <c r="H13" s="633">
        <f t="shared" si="2"/>
        <v>161249.20000000001</v>
      </c>
      <c r="I13" s="343">
        <v>1</v>
      </c>
      <c r="J13" s="86">
        <v>155452</v>
      </c>
      <c r="K13" s="74">
        <f t="shared" si="3"/>
        <v>155452</v>
      </c>
      <c r="L13" s="342">
        <v>1</v>
      </c>
      <c r="M13" s="73">
        <v>252931</v>
      </c>
      <c r="N13" s="74">
        <f t="shared" si="4"/>
        <v>252931</v>
      </c>
    </row>
    <row r="14" spans="1:15" ht="14.25" customHeight="1" x14ac:dyDescent="0.2">
      <c r="A14" s="360"/>
      <c r="B14" s="622" t="s">
        <v>99</v>
      </c>
      <c r="C14" s="343">
        <f t="shared" si="0"/>
        <v>12</v>
      </c>
      <c r="D14" s="73">
        <f t="shared" si="0"/>
        <v>2020875</v>
      </c>
      <c r="E14" s="74">
        <f t="shared" si="1"/>
        <v>168406.25</v>
      </c>
      <c r="F14" s="342">
        <v>10</v>
      </c>
      <c r="G14" s="86">
        <v>1612492</v>
      </c>
      <c r="H14" s="633">
        <f t="shared" si="2"/>
        <v>161249.20000000001</v>
      </c>
      <c r="I14" s="343">
        <v>1</v>
      </c>
      <c r="J14" s="86">
        <v>155452</v>
      </c>
      <c r="K14" s="74">
        <f t="shared" si="3"/>
        <v>155452</v>
      </c>
      <c r="L14" s="342">
        <v>1</v>
      </c>
      <c r="M14" s="73">
        <v>252931</v>
      </c>
      <c r="N14" s="74">
        <f t="shared" si="4"/>
        <v>252931</v>
      </c>
    </row>
    <row r="15" spans="1:15" ht="14.25" customHeight="1" x14ac:dyDescent="0.2">
      <c r="A15" s="360"/>
      <c r="B15" s="622" t="s">
        <v>100</v>
      </c>
      <c r="C15" s="343">
        <f t="shared" si="0"/>
        <v>12</v>
      </c>
      <c r="D15" s="73">
        <f t="shared" si="0"/>
        <v>2020875</v>
      </c>
      <c r="E15" s="74">
        <f t="shared" si="1"/>
        <v>168406.25</v>
      </c>
      <c r="F15" s="342">
        <v>10</v>
      </c>
      <c r="G15" s="86">
        <v>1612492</v>
      </c>
      <c r="H15" s="633">
        <f t="shared" si="2"/>
        <v>161249.20000000001</v>
      </c>
      <c r="I15" s="343">
        <v>1</v>
      </c>
      <c r="J15" s="86">
        <v>155452</v>
      </c>
      <c r="K15" s="74">
        <f t="shared" si="3"/>
        <v>155452</v>
      </c>
      <c r="L15" s="342">
        <v>1</v>
      </c>
      <c r="M15" s="73">
        <v>252931</v>
      </c>
      <c r="N15" s="74">
        <f t="shared" si="4"/>
        <v>252931</v>
      </c>
    </row>
    <row r="16" spans="1:15" ht="14.25" customHeight="1" x14ac:dyDescent="0.2">
      <c r="A16" s="360"/>
      <c r="B16" s="622" t="s">
        <v>101</v>
      </c>
      <c r="C16" s="343">
        <f t="shared" si="0"/>
        <v>12</v>
      </c>
      <c r="D16" s="73">
        <f t="shared" si="0"/>
        <v>2020875</v>
      </c>
      <c r="E16" s="74">
        <f t="shared" si="1"/>
        <v>168406.25</v>
      </c>
      <c r="F16" s="342">
        <v>10</v>
      </c>
      <c r="G16" s="86">
        <v>1612492</v>
      </c>
      <c r="H16" s="633">
        <f t="shared" si="2"/>
        <v>161249.20000000001</v>
      </c>
      <c r="I16" s="343">
        <v>1</v>
      </c>
      <c r="J16" s="86">
        <v>155452</v>
      </c>
      <c r="K16" s="74">
        <f t="shared" si="3"/>
        <v>155452</v>
      </c>
      <c r="L16" s="342">
        <v>1</v>
      </c>
      <c r="M16" s="73">
        <v>252931</v>
      </c>
      <c r="N16" s="74">
        <f t="shared" si="4"/>
        <v>252931</v>
      </c>
    </row>
    <row r="17" spans="1:14" ht="14.25" customHeight="1" x14ac:dyDescent="0.2">
      <c r="A17" s="360"/>
      <c r="B17" s="622" t="s">
        <v>102</v>
      </c>
      <c r="C17" s="343">
        <f t="shared" si="0"/>
        <v>12</v>
      </c>
      <c r="D17" s="73">
        <f t="shared" si="0"/>
        <v>2020875</v>
      </c>
      <c r="E17" s="74">
        <f t="shared" si="1"/>
        <v>168406.25</v>
      </c>
      <c r="F17" s="342">
        <v>10</v>
      </c>
      <c r="G17" s="86">
        <v>1612492</v>
      </c>
      <c r="H17" s="633">
        <f t="shared" si="2"/>
        <v>161249.20000000001</v>
      </c>
      <c r="I17" s="343">
        <v>1</v>
      </c>
      <c r="J17" s="86">
        <v>155452</v>
      </c>
      <c r="K17" s="74">
        <f t="shared" si="3"/>
        <v>155452</v>
      </c>
      <c r="L17" s="342">
        <v>1</v>
      </c>
      <c r="M17" s="73">
        <v>252931</v>
      </c>
      <c r="N17" s="74">
        <f t="shared" si="4"/>
        <v>252931</v>
      </c>
    </row>
    <row r="18" spans="1:14" ht="14.25" customHeight="1" x14ac:dyDescent="0.2">
      <c r="A18" s="360"/>
      <c r="B18" s="622" t="s">
        <v>103</v>
      </c>
      <c r="C18" s="343">
        <f t="shared" si="0"/>
        <v>12</v>
      </c>
      <c r="D18" s="73">
        <f t="shared" si="0"/>
        <v>2020875</v>
      </c>
      <c r="E18" s="74">
        <f t="shared" si="1"/>
        <v>168406.25</v>
      </c>
      <c r="F18" s="342">
        <v>10</v>
      </c>
      <c r="G18" s="86">
        <v>1612492</v>
      </c>
      <c r="H18" s="633">
        <f t="shared" si="2"/>
        <v>161249.20000000001</v>
      </c>
      <c r="I18" s="343">
        <v>1</v>
      </c>
      <c r="J18" s="86">
        <v>155452</v>
      </c>
      <c r="K18" s="74">
        <f t="shared" si="3"/>
        <v>155452</v>
      </c>
      <c r="L18" s="342">
        <v>1</v>
      </c>
      <c r="M18" s="73">
        <v>252931</v>
      </c>
      <c r="N18" s="74">
        <f t="shared" si="4"/>
        <v>252931</v>
      </c>
    </row>
    <row r="19" spans="1:14" ht="14.25" customHeight="1" x14ac:dyDescent="0.2">
      <c r="A19" s="360"/>
      <c r="B19" s="622" t="s">
        <v>104</v>
      </c>
      <c r="C19" s="343">
        <f t="shared" si="0"/>
        <v>12</v>
      </c>
      <c r="D19" s="73">
        <f t="shared" si="0"/>
        <v>2020875</v>
      </c>
      <c r="E19" s="74">
        <f t="shared" si="1"/>
        <v>168406.25</v>
      </c>
      <c r="F19" s="342">
        <v>10</v>
      </c>
      <c r="G19" s="86">
        <v>1612492</v>
      </c>
      <c r="H19" s="633">
        <f t="shared" si="2"/>
        <v>161249.20000000001</v>
      </c>
      <c r="I19" s="343">
        <v>1</v>
      </c>
      <c r="J19" s="86">
        <v>155452</v>
      </c>
      <c r="K19" s="74">
        <f t="shared" si="3"/>
        <v>155452</v>
      </c>
      <c r="L19" s="342">
        <v>1</v>
      </c>
      <c r="M19" s="73">
        <v>252931</v>
      </c>
      <c r="N19" s="74">
        <f t="shared" si="4"/>
        <v>252931</v>
      </c>
    </row>
    <row r="20" spans="1:14" ht="14.25" customHeight="1" x14ac:dyDescent="0.2">
      <c r="A20" s="360"/>
      <c r="B20" s="622" t="s">
        <v>105</v>
      </c>
      <c r="C20" s="343">
        <f t="shared" si="0"/>
        <v>12</v>
      </c>
      <c r="D20" s="73">
        <f t="shared" si="0"/>
        <v>2020875</v>
      </c>
      <c r="E20" s="74">
        <f t="shared" si="1"/>
        <v>168406.25</v>
      </c>
      <c r="F20" s="342">
        <v>10</v>
      </c>
      <c r="G20" s="86">
        <v>1612492</v>
      </c>
      <c r="H20" s="633">
        <f t="shared" si="2"/>
        <v>161249.20000000001</v>
      </c>
      <c r="I20" s="343">
        <v>1</v>
      </c>
      <c r="J20" s="86">
        <v>155452</v>
      </c>
      <c r="K20" s="74">
        <f t="shared" si="3"/>
        <v>155452</v>
      </c>
      <c r="L20" s="342">
        <v>1</v>
      </c>
      <c r="M20" s="73">
        <v>252931</v>
      </c>
      <c r="N20" s="74">
        <f t="shared" si="4"/>
        <v>252931</v>
      </c>
    </row>
    <row r="21" spans="1:14" ht="14.25" customHeight="1" x14ac:dyDescent="0.2">
      <c r="A21" s="360"/>
      <c r="B21" s="622" t="s">
        <v>106</v>
      </c>
      <c r="C21" s="343">
        <f t="shared" si="0"/>
        <v>12</v>
      </c>
      <c r="D21" s="73">
        <f t="shared" si="0"/>
        <v>2020875</v>
      </c>
      <c r="E21" s="74">
        <f t="shared" si="1"/>
        <v>168406.25</v>
      </c>
      <c r="F21" s="342">
        <v>10</v>
      </c>
      <c r="G21" s="86">
        <v>1612492</v>
      </c>
      <c r="H21" s="633">
        <f t="shared" si="2"/>
        <v>161249.20000000001</v>
      </c>
      <c r="I21" s="343">
        <v>1</v>
      </c>
      <c r="J21" s="86">
        <v>155452</v>
      </c>
      <c r="K21" s="74">
        <f t="shared" si="3"/>
        <v>155452</v>
      </c>
      <c r="L21" s="342">
        <v>1</v>
      </c>
      <c r="M21" s="73">
        <v>252931</v>
      </c>
      <c r="N21" s="74">
        <f t="shared" si="4"/>
        <v>252931</v>
      </c>
    </row>
    <row r="22" spans="1:14" ht="14.25" customHeight="1" x14ac:dyDescent="0.2">
      <c r="A22" s="360"/>
      <c r="B22" s="622" t="s">
        <v>107</v>
      </c>
      <c r="C22" s="343">
        <f t="shared" si="0"/>
        <v>12</v>
      </c>
      <c r="D22" s="73">
        <f t="shared" si="0"/>
        <v>2020875</v>
      </c>
      <c r="E22" s="74">
        <f t="shared" si="1"/>
        <v>168406.25</v>
      </c>
      <c r="F22" s="342">
        <v>10</v>
      </c>
      <c r="G22" s="86">
        <v>1612492</v>
      </c>
      <c r="H22" s="633">
        <f t="shared" si="2"/>
        <v>161249.20000000001</v>
      </c>
      <c r="I22" s="343">
        <v>1</v>
      </c>
      <c r="J22" s="86">
        <v>155452</v>
      </c>
      <c r="K22" s="74">
        <f t="shared" si="3"/>
        <v>155452</v>
      </c>
      <c r="L22" s="342">
        <v>1</v>
      </c>
      <c r="M22" s="73">
        <v>252931</v>
      </c>
      <c r="N22" s="74">
        <f t="shared" si="4"/>
        <v>252931</v>
      </c>
    </row>
    <row r="23" spans="1:14" ht="14.25" customHeight="1" x14ac:dyDescent="0.2">
      <c r="A23" s="360"/>
      <c r="B23" s="623" t="s">
        <v>21</v>
      </c>
      <c r="C23" s="343">
        <f>SUM(C11:C22)</f>
        <v>144</v>
      </c>
      <c r="D23" s="73">
        <f t="shared" ref="D23:N23" si="5">SUM(D11:D22)</f>
        <v>24250500</v>
      </c>
      <c r="E23" s="74">
        <f t="shared" si="5"/>
        <v>2020875</v>
      </c>
      <c r="F23" s="342">
        <f t="shared" si="5"/>
        <v>120</v>
      </c>
      <c r="G23" s="73">
        <f t="shared" si="5"/>
        <v>19349904</v>
      </c>
      <c r="H23" s="633">
        <f t="shared" si="5"/>
        <v>1934990.3999999997</v>
      </c>
      <c r="I23" s="343">
        <f t="shared" si="5"/>
        <v>12</v>
      </c>
      <c r="J23" s="73">
        <f t="shared" si="5"/>
        <v>1865424</v>
      </c>
      <c r="K23" s="74">
        <f t="shared" si="5"/>
        <v>1865424</v>
      </c>
      <c r="L23" s="342">
        <f t="shared" si="5"/>
        <v>12</v>
      </c>
      <c r="M23" s="73">
        <f t="shared" si="5"/>
        <v>3035172</v>
      </c>
      <c r="N23" s="74">
        <f t="shared" si="5"/>
        <v>3035172</v>
      </c>
    </row>
    <row r="24" spans="1:14" ht="14.25" customHeight="1" thickBot="1" x14ac:dyDescent="0.25">
      <c r="A24" s="360"/>
      <c r="B24" s="624" t="s">
        <v>108</v>
      </c>
      <c r="C24" s="350">
        <f>SUM(C23/12)</f>
        <v>12</v>
      </c>
      <c r="D24" s="535">
        <f t="shared" ref="D24:N24" si="6">SUM(D23/12)</f>
        <v>2020875</v>
      </c>
      <c r="E24" s="631">
        <f t="shared" si="6"/>
        <v>168406.25</v>
      </c>
      <c r="F24" s="344">
        <f t="shared" si="6"/>
        <v>10</v>
      </c>
      <c r="G24" s="535">
        <f t="shared" si="6"/>
        <v>1612492</v>
      </c>
      <c r="H24" s="634">
        <f t="shared" si="6"/>
        <v>161249.19999999998</v>
      </c>
      <c r="I24" s="350">
        <f t="shared" si="6"/>
        <v>1</v>
      </c>
      <c r="J24" s="535">
        <f t="shared" si="6"/>
        <v>155452</v>
      </c>
      <c r="K24" s="631">
        <f t="shared" si="6"/>
        <v>155452</v>
      </c>
      <c r="L24" s="344">
        <f t="shared" si="6"/>
        <v>1</v>
      </c>
      <c r="M24" s="535">
        <f t="shared" si="6"/>
        <v>252931</v>
      </c>
      <c r="N24" s="631">
        <f t="shared" si="6"/>
        <v>252931</v>
      </c>
    </row>
    <row r="25" spans="1:14" ht="14.25" x14ac:dyDescent="0.2">
      <c r="B25" s="884" t="s">
        <v>855</v>
      </c>
      <c r="C25" s="884"/>
      <c r="D25" s="884"/>
      <c r="E25" s="884"/>
      <c r="F25" s="884"/>
      <c r="G25" s="884"/>
      <c r="H25" s="884"/>
      <c r="I25" s="884"/>
      <c r="J25" s="884"/>
      <c r="K25" s="884"/>
      <c r="L25" s="884"/>
      <c r="M25" s="884"/>
      <c r="N25" s="79"/>
    </row>
    <row r="29" spans="1:14" ht="15.75" customHeight="1" x14ac:dyDescent="0.2">
      <c r="B29" s="885" t="s">
        <v>1039</v>
      </c>
      <c r="C29" s="885"/>
      <c r="D29" s="885"/>
      <c r="E29" s="885"/>
      <c r="F29" s="885"/>
      <c r="G29" s="885"/>
      <c r="H29" s="885"/>
      <c r="I29" s="885"/>
      <c r="J29" s="885"/>
      <c r="K29" s="885"/>
      <c r="L29" s="885"/>
      <c r="M29" s="885"/>
      <c r="N29" s="885"/>
    </row>
    <row r="30" spans="1:14" ht="15.75" customHeight="1" x14ac:dyDescent="0.2">
      <c r="B30" s="885"/>
      <c r="C30" s="885"/>
      <c r="D30" s="885"/>
      <c r="E30" s="885"/>
      <c r="F30" s="885"/>
      <c r="G30" s="885"/>
      <c r="H30" s="885"/>
      <c r="I30" s="885"/>
      <c r="J30" s="885"/>
      <c r="K30" s="885"/>
      <c r="L30" s="885"/>
      <c r="M30" s="885"/>
      <c r="N30" s="885"/>
    </row>
    <row r="31" spans="1:14" ht="15" thickBot="1" x14ac:dyDescent="0.25">
      <c r="B31" s="357"/>
      <c r="C31" s="358"/>
      <c r="D31" s="358"/>
      <c r="E31" s="358"/>
      <c r="F31" s="358"/>
      <c r="G31" s="79"/>
      <c r="H31" s="79"/>
      <c r="I31" s="79"/>
      <c r="J31" s="79"/>
      <c r="K31" s="79"/>
      <c r="L31" s="79"/>
      <c r="M31" s="79"/>
      <c r="N31" s="355" t="s">
        <v>46</v>
      </c>
    </row>
    <row r="32" spans="1:14" ht="15" customHeight="1" x14ac:dyDescent="0.2">
      <c r="B32" s="867" t="s">
        <v>861</v>
      </c>
      <c r="C32" s="886" t="s">
        <v>21</v>
      </c>
      <c r="D32" s="871"/>
      <c r="E32" s="872"/>
      <c r="F32" s="874" t="s">
        <v>197</v>
      </c>
      <c r="G32" s="861"/>
      <c r="H32" s="862"/>
      <c r="I32" s="874" t="s">
        <v>94</v>
      </c>
      <c r="J32" s="861"/>
      <c r="K32" s="862"/>
      <c r="L32" s="874" t="s">
        <v>95</v>
      </c>
      <c r="M32" s="861"/>
      <c r="N32" s="862"/>
    </row>
    <row r="33" spans="2:14" ht="12.75" customHeight="1" x14ac:dyDescent="0.2">
      <c r="B33" s="868"/>
      <c r="C33" s="881" t="s">
        <v>49</v>
      </c>
      <c r="D33" s="875" t="s">
        <v>196</v>
      </c>
      <c r="E33" s="877" t="s">
        <v>252</v>
      </c>
      <c r="F33" s="881" t="s">
        <v>49</v>
      </c>
      <c r="G33" s="875" t="s">
        <v>196</v>
      </c>
      <c r="H33" s="877" t="s">
        <v>252</v>
      </c>
      <c r="I33" s="881" t="s">
        <v>49</v>
      </c>
      <c r="J33" s="875" t="s">
        <v>196</v>
      </c>
      <c r="K33" s="877" t="s">
        <v>252</v>
      </c>
      <c r="L33" s="881" t="s">
        <v>49</v>
      </c>
      <c r="M33" s="875" t="s">
        <v>196</v>
      </c>
      <c r="N33" s="877" t="s">
        <v>252</v>
      </c>
    </row>
    <row r="34" spans="2:14" ht="13.5" thickBot="1" x14ac:dyDescent="0.25">
      <c r="B34" s="869"/>
      <c r="C34" s="882"/>
      <c r="D34" s="879"/>
      <c r="E34" s="880"/>
      <c r="F34" s="882"/>
      <c r="G34" s="879"/>
      <c r="H34" s="880"/>
      <c r="I34" s="882"/>
      <c r="J34" s="879"/>
      <c r="K34" s="880"/>
      <c r="L34" s="882"/>
      <c r="M34" s="879"/>
      <c r="N34" s="880"/>
    </row>
    <row r="35" spans="2:14" x14ac:dyDescent="0.2">
      <c r="B35" s="367" t="s">
        <v>96</v>
      </c>
      <c r="C35" s="629">
        <f>SUM(F35,I35,L35)</f>
        <v>12</v>
      </c>
      <c r="D35" s="86">
        <f>SUM(G35,J35,M35)</f>
        <v>2327041.65</v>
      </c>
      <c r="E35" s="89">
        <f>SUM(D35/C35)</f>
        <v>193920.13749999998</v>
      </c>
      <c r="F35" s="629">
        <v>10</v>
      </c>
      <c r="G35" s="86">
        <v>1856789</v>
      </c>
      <c r="H35" s="89">
        <f>SUM(G35/F35)</f>
        <v>185678.9</v>
      </c>
      <c r="I35" s="629">
        <v>1</v>
      </c>
      <c r="J35" s="86">
        <v>179003</v>
      </c>
      <c r="K35" s="89">
        <f>SUM(J35/I35)</f>
        <v>179003</v>
      </c>
      <c r="L35" s="629">
        <v>1</v>
      </c>
      <c r="M35" s="86">
        <v>291249.65000000002</v>
      </c>
      <c r="N35" s="630">
        <f>SUM(M35/L35)</f>
        <v>291249.65000000002</v>
      </c>
    </row>
    <row r="36" spans="2:14" x14ac:dyDescent="0.2">
      <c r="B36" s="368" t="s">
        <v>97</v>
      </c>
      <c r="C36" s="343">
        <f t="shared" ref="C36:D46" si="7">SUM(F36,I36,L36)</f>
        <v>12</v>
      </c>
      <c r="D36" s="73">
        <f t="shared" si="7"/>
        <v>2327041.65</v>
      </c>
      <c r="E36" s="74">
        <f t="shared" ref="E36:E46" si="8">SUM(D36/C36)</f>
        <v>193920.13749999998</v>
      </c>
      <c r="F36" s="629">
        <v>10</v>
      </c>
      <c r="G36" s="86">
        <v>1856789</v>
      </c>
      <c r="H36" s="74">
        <f t="shared" ref="H36:H46" si="9">SUM(G36/F36)</f>
        <v>185678.9</v>
      </c>
      <c r="I36" s="629">
        <v>1</v>
      </c>
      <c r="J36" s="86">
        <v>179003</v>
      </c>
      <c r="K36" s="74">
        <f t="shared" ref="K36:K46" si="10">SUM(J36/I36)</f>
        <v>179003</v>
      </c>
      <c r="L36" s="343">
        <v>1</v>
      </c>
      <c r="M36" s="73">
        <v>291249.65000000002</v>
      </c>
      <c r="N36" s="630">
        <f t="shared" ref="N36:N46" si="11">SUM(M36/L36)</f>
        <v>291249.65000000002</v>
      </c>
    </row>
    <row r="37" spans="2:14" x14ac:dyDescent="0.2">
      <c r="B37" s="368" t="s">
        <v>98</v>
      </c>
      <c r="C37" s="343">
        <f t="shared" si="7"/>
        <v>12</v>
      </c>
      <c r="D37" s="73">
        <f t="shared" si="7"/>
        <v>2327041.65</v>
      </c>
      <c r="E37" s="74">
        <f t="shared" si="8"/>
        <v>193920.13749999998</v>
      </c>
      <c r="F37" s="629">
        <v>10</v>
      </c>
      <c r="G37" s="86">
        <v>1856789</v>
      </c>
      <c r="H37" s="74">
        <f t="shared" si="9"/>
        <v>185678.9</v>
      </c>
      <c r="I37" s="629">
        <v>1</v>
      </c>
      <c r="J37" s="86">
        <v>179003</v>
      </c>
      <c r="K37" s="74">
        <f t="shared" si="10"/>
        <v>179003</v>
      </c>
      <c r="L37" s="343">
        <v>1</v>
      </c>
      <c r="M37" s="73">
        <v>291249.65000000002</v>
      </c>
      <c r="N37" s="630">
        <f t="shared" si="11"/>
        <v>291249.65000000002</v>
      </c>
    </row>
    <row r="38" spans="2:14" x14ac:dyDescent="0.2">
      <c r="B38" s="368" t="s">
        <v>99</v>
      </c>
      <c r="C38" s="343">
        <f t="shared" si="7"/>
        <v>12</v>
      </c>
      <c r="D38" s="73">
        <f t="shared" si="7"/>
        <v>2327041.65</v>
      </c>
      <c r="E38" s="74">
        <f t="shared" si="8"/>
        <v>193920.13749999998</v>
      </c>
      <c r="F38" s="629">
        <v>10</v>
      </c>
      <c r="G38" s="86">
        <v>1856789</v>
      </c>
      <c r="H38" s="74">
        <f t="shared" si="9"/>
        <v>185678.9</v>
      </c>
      <c r="I38" s="629">
        <v>1</v>
      </c>
      <c r="J38" s="86">
        <v>179003</v>
      </c>
      <c r="K38" s="74">
        <f t="shared" si="10"/>
        <v>179003</v>
      </c>
      <c r="L38" s="343">
        <v>1</v>
      </c>
      <c r="M38" s="73">
        <v>291249.65000000002</v>
      </c>
      <c r="N38" s="630">
        <f t="shared" si="11"/>
        <v>291249.65000000002</v>
      </c>
    </row>
    <row r="39" spans="2:14" x14ac:dyDescent="0.2">
      <c r="B39" s="368" t="s">
        <v>100</v>
      </c>
      <c r="C39" s="343">
        <f t="shared" si="7"/>
        <v>12</v>
      </c>
      <c r="D39" s="73">
        <f t="shared" si="7"/>
        <v>2327041.65</v>
      </c>
      <c r="E39" s="74">
        <f t="shared" si="8"/>
        <v>193920.13749999998</v>
      </c>
      <c r="F39" s="629">
        <v>10</v>
      </c>
      <c r="G39" s="86">
        <v>1856789</v>
      </c>
      <c r="H39" s="74">
        <f t="shared" si="9"/>
        <v>185678.9</v>
      </c>
      <c r="I39" s="629">
        <v>1</v>
      </c>
      <c r="J39" s="86">
        <v>179003</v>
      </c>
      <c r="K39" s="74">
        <f t="shared" si="10"/>
        <v>179003</v>
      </c>
      <c r="L39" s="343">
        <v>1</v>
      </c>
      <c r="M39" s="73">
        <v>291249.65000000002</v>
      </c>
      <c r="N39" s="630">
        <f t="shared" si="11"/>
        <v>291249.65000000002</v>
      </c>
    </row>
    <row r="40" spans="2:14" x14ac:dyDescent="0.2">
      <c r="B40" s="368" t="s">
        <v>101</v>
      </c>
      <c r="C40" s="343">
        <f t="shared" si="7"/>
        <v>12</v>
      </c>
      <c r="D40" s="73">
        <f t="shared" si="7"/>
        <v>2327041.65</v>
      </c>
      <c r="E40" s="74">
        <f t="shared" si="8"/>
        <v>193920.13749999998</v>
      </c>
      <c r="F40" s="629">
        <v>10</v>
      </c>
      <c r="G40" s="86">
        <v>1856789</v>
      </c>
      <c r="H40" s="74">
        <f t="shared" si="9"/>
        <v>185678.9</v>
      </c>
      <c r="I40" s="629">
        <v>1</v>
      </c>
      <c r="J40" s="86">
        <v>179003</v>
      </c>
      <c r="K40" s="74">
        <f t="shared" si="10"/>
        <v>179003</v>
      </c>
      <c r="L40" s="343">
        <v>1</v>
      </c>
      <c r="M40" s="73">
        <v>291249.65000000002</v>
      </c>
      <c r="N40" s="630">
        <f t="shared" si="11"/>
        <v>291249.65000000002</v>
      </c>
    </row>
    <row r="41" spans="2:14" x14ac:dyDescent="0.2">
      <c r="B41" s="368" t="s">
        <v>102</v>
      </c>
      <c r="C41" s="343">
        <f t="shared" si="7"/>
        <v>12</v>
      </c>
      <c r="D41" s="73">
        <f t="shared" si="7"/>
        <v>2327041.65</v>
      </c>
      <c r="E41" s="74">
        <f t="shared" si="8"/>
        <v>193920.13749999998</v>
      </c>
      <c r="F41" s="629">
        <v>10</v>
      </c>
      <c r="G41" s="86">
        <v>1856789</v>
      </c>
      <c r="H41" s="74">
        <f t="shared" si="9"/>
        <v>185678.9</v>
      </c>
      <c r="I41" s="629">
        <v>1</v>
      </c>
      <c r="J41" s="86">
        <v>179003</v>
      </c>
      <c r="K41" s="74">
        <f t="shared" si="10"/>
        <v>179003</v>
      </c>
      <c r="L41" s="343">
        <v>1</v>
      </c>
      <c r="M41" s="73">
        <v>291249.65000000002</v>
      </c>
      <c r="N41" s="630">
        <f t="shared" si="11"/>
        <v>291249.65000000002</v>
      </c>
    </row>
    <row r="42" spans="2:14" x14ac:dyDescent="0.2">
      <c r="B42" s="368" t="s">
        <v>103</v>
      </c>
      <c r="C42" s="343">
        <f t="shared" si="7"/>
        <v>12</v>
      </c>
      <c r="D42" s="73">
        <f t="shared" si="7"/>
        <v>2327041.65</v>
      </c>
      <c r="E42" s="74">
        <f t="shared" si="8"/>
        <v>193920.13749999998</v>
      </c>
      <c r="F42" s="629">
        <v>10</v>
      </c>
      <c r="G42" s="86">
        <v>1856789</v>
      </c>
      <c r="H42" s="74">
        <f t="shared" si="9"/>
        <v>185678.9</v>
      </c>
      <c r="I42" s="629">
        <v>1</v>
      </c>
      <c r="J42" s="86">
        <v>179003</v>
      </c>
      <c r="K42" s="74">
        <f t="shared" si="10"/>
        <v>179003</v>
      </c>
      <c r="L42" s="343">
        <v>1</v>
      </c>
      <c r="M42" s="73">
        <v>291249.65000000002</v>
      </c>
      <c r="N42" s="630">
        <f t="shared" si="11"/>
        <v>291249.65000000002</v>
      </c>
    </row>
    <row r="43" spans="2:14" x14ac:dyDescent="0.2">
      <c r="B43" s="368" t="s">
        <v>104</v>
      </c>
      <c r="C43" s="343">
        <f t="shared" si="7"/>
        <v>12</v>
      </c>
      <c r="D43" s="73">
        <f t="shared" si="7"/>
        <v>2327041.65</v>
      </c>
      <c r="E43" s="74">
        <f t="shared" si="8"/>
        <v>193920.13749999998</v>
      </c>
      <c r="F43" s="629">
        <v>10</v>
      </c>
      <c r="G43" s="86">
        <v>1856789</v>
      </c>
      <c r="H43" s="74">
        <f t="shared" si="9"/>
        <v>185678.9</v>
      </c>
      <c r="I43" s="629">
        <v>1</v>
      </c>
      <c r="J43" s="86">
        <v>179003</v>
      </c>
      <c r="K43" s="74">
        <f t="shared" si="10"/>
        <v>179003</v>
      </c>
      <c r="L43" s="343">
        <v>1</v>
      </c>
      <c r="M43" s="73">
        <v>291249.65000000002</v>
      </c>
      <c r="N43" s="630">
        <f t="shared" si="11"/>
        <v>291249.65000000002</v>
      </c>
    </row>
    <row r="44" spans="2:14" x14ac:dyDescent="0.2">
      <c r="B44" s="368" t="s">
        <v>105</v>
      </c>
      <c r="C44" s="343">
        <f t="shared" si="7"/>
        <v>12</v>
      </c>
      <c r="D44" s="73">
        <f t="shared" si="7"/>
        <v>2327041.65</v>
      </c>
      <c r="E44" s="74">
        <f t="shared" si="8"/>
        <v>193920.13749999998</v>
      </c>
      <c r="F44" s="629">
        <v>10</v>
      </c>
      <c r="G44" s="86">
        <v>1856789</v>
      </c>
      <c r="H44" s="74">
        <f t="shared" si="9"/>
        <v>185678.9</v>
      </c>
      <c r="I44" s="629">
        <v>1</v>
      </c>
      <c r="J44" s="86">
        <v>179003</v>
      </c>
      <c r="K44" s="74">
        <f t="shared" si="10"/>
        <v>179003</v>
      </c>
      <c r="L44" s="343">
        <v>1</v>
      </c>
      <c r="M44" s="73">
        <v>291249.65000000002</v>
      </c>
      <c r="N44" s="630">
        <f t="shared" si="11"/>
        <v>291249.65000000002</v>
      </c>
    </row>
    <row r="45" spans="2:14" x14ac:dyDescent="0.2">
      <c r="B45" s="368" t="s">
        <v>106</v>
      </c>
      <c r="C45" s="343">
        <f t="shared" si="7"/>
        <v>12</v>
      </c>
      <c r="D45" s="73">
        <f t="shared" si="7"/>
        <v>2327041.65</v>
      </c>
      <c r="E45" s="74">
        <f t="shared" si="8"/>
        <v>193920.13749999998</v>
      </c>
      <c r="F45" s="629">
        <v>10</v>
      </c>
      <c r="G45" s="86">
        <v>1856789</v>
      </c>
      <c r="H45" s="74">
        <f t="shared" si="9"/>
        <v>185678.9</v>
      </c>
      <c r="I45" s="629">
        <v>1</v>
      </c>
      <c r="J45" s="86">
        <v>179003</v>
      </c>
      <c r="K45" s="74">
        <f t="shared" si="10"/>
        <v>179003</v>
      </c>
      <c r="L45" s="343">
        <v>1</v>
      </c>
      <c r="M45" s="73">
        <v>291249.65000000002</v>
      </c>
      <c r="N45" s="630">
        <f t="shared" si="11"/>
        <v>291249.65000000002</v>
      </c>
    </row>
    <row r="46" spans="2:14" x14ac:dyDescent="0.2">
      <c r="B46" s="368" t="s">
        <v>107</v>
      </c>
      <c r="C46" s="343">
        <f t="shared" si="7"/>
        <v>12</v>
      </c>
      <c r="D46" s="73">
        <f t="shared" si="7"/>
        <v>2327041.65</v>
      </c>
      <c r="E46" s="74">
        <f t="shared" si="8"/>
        <v>193920.13749999998</v>
      </c>
      <c r="F46" s="629">
        <v>10</v>
      </c>
      <c r="G46" s="86">
        <v>1856789</v>
      </c>
      <c r="H46" s="74">
        <f t="shared" si="9"/>
        <v>185678.9</v>
      </c>
      <c r="I46" s="629">
        <v>1</v>
      </c>
      <c r="J46" s="86">
        <v>179003</v>
      </c>
      <c r="K46" s="74">
        <f t="shared" si="10"/>
        <v>179003</v>
      </c>
      <c r="L46" s="343">
        <v>1</v>
      </c>
      <c r="M46" s="73">
        <v>291249.65000000002</v>
      </c>
      <c r="N46" s="630">
        <f t="shared" si="11"/>
        <v>291249.65000000002</v>
      </c>
    </row>
    <row r="47" spans="2:14" x14ac:dyDescent="0.2">
      <c r="B47" s="370" t="s">
        <v>21</v>
      </c>
      <c r="C47" s="343">
        <f t="shared" ref="C47:N47" si="12">SUM(C35:C46)</f>
        <v>144</v>
      </c>
      <c r="D47" s="73">
        <f t="shared" si="12"/>
        <v>27924499.799999993</v>
      </c>
      <c r="E47" s="73">
        <f t="shared" si="12"/>
        <v>2327041.65</v>
      </c>
      <c r="F47" s="343">
        <f t="shared" si="12"/>
        <v>120</v>
      </c>
      <c r="G47" s="73">
        <f t="shared" si="12"/>
        <v>22281468</v>
      </c>
      <c r="H47" s="73">
        <f t="shared" si="12"/>
        <v>2228146.7999999993</v>
      </c>
      <c r="I47" s="343">
        <f t="shared" si="12"/>
        <v>12</v>
      </c>
      <c r="J47" s="73">
        <f t="shared" si="12"/>
        <v>2148036</v>
      </c>
      <c r="K47" s="73">
        <f t="shared" si="12"/>
        <v>2148036</v>
      </c>
      <c r="L47" s="343">
        <f t="shared" si="12"/>
        <v>12</v>
      </c>
      <c r="M47" s="73">
        <f t="shared" si="12"/>
        <v>3494995.7999999993</v>
      </c>
      <c r="N47" s="74">
        <f t="shared" si="12"/>
        <v>3494995.7999999993</v>
      </c>
    </row>
    <row r="48" spans="2:14" ht="13.5" thickBot="1" x14ac:dyDescent="0.25">
      <c r="B48" s="371" t="s">
        <v>108</v>
      </c>
      <c r="C48" s="350">
        <f>SUM(C47/12)</f>
        <v>12</v>
      </c>
      <c r="D48" s="535">
        <f t="shared" ref="D48:N48" si="13">SUM(D47/12)</f>
        <v>2327041.6499999994</v>
      </c>
      <c r="E48" s="631">
        <f t="shared" si="13"/>
        <v>193920.13749999998</v>
      </c>
      <c r="F48" s="350">
        <f t="shared" si="13"/>
        <v>10</v>
      </c>
      <c r="G48" s="535">
        <f t="shared" si="13"/>
        <v>1856789</v>
      </c>
      <c r="H48" s="631">
        <f t="shared" si="13"/>
        <v>185678.89999999994</v>
      </c>
      <c r="I48" s="350">
        <f t="shared" si="13"/>
        <v>1</v>
      </c>
      <c r="J48" s="535">
        <f t="shared" si="13"/>
        <v>179003</v>
      </c>
      <c r="K48" s="631">
        <f t="shared" si="13"/>
        <v>179003</v>
      </c>
      <c r="L48" s="350">
        <f t="shared" si="13"/>
        <v>1</v>
      </c>
      <c r="M48" s="535">
        <f t="shared" si="13"/>
        <v>291249.64999999997</v>
      </c>
      <c r="N48" s="632">
        <f t="shared" si="13"/>
        <v>291249.64999999997</v>
      </c>
    </row>
    <row r="49" spans="2:14" ht="14.25" x14ac:dyDescent="0.2">
      <c r="B49" s="884" t="s">
        <v>855</v>
      </c>
      <c r="C49" s="884"/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79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L44"/>
  <sheetViews>
    <sheetView showGridLines="0" topLeftCell="A22" zoomScale="115" zoomScaleNormal="115" workbookViewId="0">
      <selection activeCell="N37" sqref="N37"/>
    </sheetView>
  </sheetViews>
  <sheetFormatPr defaultRowHeight="12.75" x14ac:dyDescent="0.2"/>
  <cols>
    <col min="1" max="1" width="3.85546875" style="452" customWidth="1"/>
    <col min="2" max="2" width="9.140625" style="452"/>
    <col min="3" max="13" width="12.7109375" style="452" customWidth="1"/>
    <col min="14" max="16384" width="9.140625" style="452"/>
  </cols>
  <sheetData>
    <row r="1" spans="2:12" x14ac:dyDescent="0.2">
      <c r="J1" s="39" t="s">
        <v>357</v>
      </c>
    </row>
    <row r="2" spans="2:12" ht="20.25" customHeight="1" x14ac:dyDescent="0.2">
      <c r="B2" s="669" t="s">
        <v>240</v>
      </c>
      <c r="C2" s="669"/>
      <c r="D2" s="669"/>
      <c r="E2" s="669"/>
      <c r="F2" s="669"/>
      <c r="G2" s="669"/>
      <c r="H2" s="669"/>
      <c r="I2" s="669"/>
      <c r="J2" s="669"/>
      <c r="K2" s="522"/>
      <c r="L2" s="522"/>
    </row>
    <row r="3" spans="2:12" ht="15" thickBot="1" x14ac:dyDescent="0.25">
      <c r="B3" s="173"/>
      <c r="C3" s="173"/>
      <c r="D3" s="173"/>
      <c r="E3" s="173"/>
      <c r="F3" s="173"/>
      <c r="G3" s="173"/>
      <c r="H3" s="173"/>
      <c r="I3" s="173"/>
      <c r="J3" s="453" t="s">
        <v>46</v>
      </c>
      <c r="K3" s="173"/>
      <c r="L3" s="292"/>
    </row>
    <row r="4" spans="2:12" ht="30" customHeight="1" x14ac:dyDescent="0.2">
      <c r="B4" s="887" t="s">
        <v>241</v>
      </c>
      <c r="C4" s="889" t="s">
        <v>862</v>
      </c>
      <c r="D4" s="736"/>
      <c r="E4" s="736"/>
      <c r="F4" s="737"/>
      <c r="G4" s="736" t="s">
        <v>863</v>
      </c>
      <c r="H4" s="736"/>
      <c r="I4" s="736"/>
      <c r="J4" s="737"/>
      <c r="K4" s="191"/>
      <c r="L4" s="191"/>
    </row>
    <row r="5" spans="2:12" ht="26.25" thickBot="1" x14ac:dyDescent="0.25">
      <c r="B5" s="888"/>
      <c r="C5" s="523" t="s">
        <v>245</v>
      </c>
      <c r="D5" s="524" t="s">
        <v>202</v>
      </c>
      <c r="E5" s="524" t="s">
        <v>243</v>
      </c>
      <c r="F5" s="525" t="s">
        <v>244</v>
      </c>
      <c r="G5" s="523" t="s">
        <v>245</v>
      </c>
      <c r="H5" s="524" t="s">
        <v>202</v>
      </c>
      <c r="I5" s="524" t="s">
        <v>243</v>
      </c>
      <c r="J5" s="525" t="s">
        <v>244</v>
      </c>
      <c r="K5" s="526"/>
      <c r="L5" s="526"/>
    </row>
    <row r="6" spans="2:12" ht="13.5" thickBot="1" x14ac:dyDescent="0.25">
      <c r="B6" s="527"/>
      <c r="C6" s="528" t="s">
        <v>246</v>
      </c>
      <c r="D6" s="529">
        <v>1</v>
      </c>
      <c r="E6" s="529">
        <v>2</v>
      </c>
      <c r="F6" s="530">
        <v>3</v>
      </c>
      <c r="G6" s="528" t="s">
        <v>246</v>
      </c>
      <c r="H6" s="529">
        <v>1</v>
      </c>
      <c r="I6" s="529">
        <v>2</v>
      </c>
      <c r="J6" s="530">
        <v>3</v>
      </c>
      <c r="K6" s="526"/>
      <c r="L6" s="526"/>
    </row>
    <row r="7" spans="2:12" ht="14.25" x14ac:dyDescent="0.2">
      <c r="B7" s="531" t="s">
        <v>96</v>
      </c>
      <c r="C7" s="532">
        <f>D7+(E7*F7)</f>
        <v>70000</v>
      </c>
      <c r="D7" s="86">
        <v>30000</v>
      </c>
      <c r="E7" s="86">
        <v>20000</v>
      </c>
      <c r="F7" s="89">
        <v>2</v>
      </c>
      <c r="G7" s="340">
        <f>H7+(I7*J7)</f>
        <v>70000</v>
      </c>
      <c r="H7" s="86">
        <v>30000</v>
      </c>
      <c r="I7" s="86">
        <v>20000</v>
      </c>
      <c r="J7" s="89">
        <v>2</v>
      </c>
      <c r="K7" s="173"/>
      <c r="L7" s="173"/>
    </row>
    <row r="8" spans="2:12" ht="14.25" x14ac:dyDescent="0.2">
      <c r="B8" s="533" t="s">
        <v>97</v>
      </c>
      <c r="C8" s="532">
        <f t="shared" ref="C8:C18" si="0">D8+(E8*F8)</f>
        <v>70000</v>
      </c>
      <c r="D8" s="86">
        <v>30000</v>
      </c>
      <c r="E8" s="86">
        <v>20000</v>
      </c>
      <c r="F8" s="89">
        <v>2</v>
      </c>
      <c r="G8" s="340">
        <f t="shared" ref="G8:G18" si="1">H8+(I8*J8)</f>
        <v>70000</v>
      </c>
      <c r="H8" s="86">
        <v>30000</v>
      </c>
      <c r="I8" s="86">
        <v>20000</v>
      </c>
      <c r="J8" s="89">
        <v>2</v>
      </c>
      <c r="K8" s="173"/>
      <c r="L8" s="173"/>
    </row>
    <row r="9" spans="2:12" ht="14.25" x14ac:dyDescent="0.2">
      <c r="B9" s="533" t="s">
        <v>98</v>
      </c>
      <c r="C9" s="532">
        <f t="shared" si="0"/>
        <v>70000</v>
      </c>
      <c r="D9" s="86">
        <v>30000</v>
      </c>
      <c r="E9" s="86">
        <v>20000</v>
      </c>
      <c r="F9" s="89">
        <v>2</v>
      </c>
      <c r="G9" s="340">
        <f t="shared" si="1"/>
        <v>70000</v>
      </c>
      <c r="H9" s="86">
        <v>30000</v>
      </c>
      <c r="I9" s="86">
        <v>20000</v>
      </c>
      <c r="J9" s="89">
        <v>2</v>
      </c>
      <c r="K9" s="173"/>
      <c r="L9" s="173"/>
    </row>
    <row r="10" spans="2:12" ht="14.25" x14ac:dyDescent="0.2">
      <c r="B10" s="533" t="s">
        <v>99</v>
      </c>
      <c r="C10" s="532">
        <f t="shared" si="0"/>
        <v>70000</v>
      </c>
      <c r="D10" s="86">
        <v>30000</v>
      </c>
      <c r="E10" s="86">
        <v>20000</v>
      </c>
      <c r="F10" s="89">
        <v>2</v>
      </c>
      <c r="G10" s="340">
        <f t="shared" si="1"/>
        <v>70000</v>
      </c>
      <c r="H10" s="86">
        <v>30000</v>
      </c>
      <c r="I10" s="86">
        <v>20000</v>
      </c>
      <c r="J10" s="89">
        <v>2</v>
      </c>
      <c r="K10" s="173"/>
      <c r="L10" s="173"/>
    </row>
    <row r="11" spans="2:12" ht="14.25" x14ac:dyDescent="0.2">
      <c r="B11" s="533" t="s">
        <v>100</v>
      </c>
      <c r="C11" s="532">
        <f t="shared" si="0"/>
        <v>70000</v>
      </c>
      <c r="D11" s="86">
        <v>30000</v>
      </c>
      <c r="E11" s="86">
        <v>20000</v>
      </c>
      <c r="F11" s="89">
        <v>2</v>
      </c>
      <c r="G11" s="340">
        <f t="shared" si="1"/>
        <v>70000</v>
      </c>
      <c r="H11" s="86">
        <v>30000</v>
      </c>
      <c r="I11" s="86">
        <v>20000</v>
      </c>
      <c r="J11" s="89">
        <v>2</v>
      </c>
      <c r="K11" s="173"/>
      <c r="L11" s="173"/>
    </row>
    <row r="12" spans="2:12" ht="14.25" x14ac:dyDescent="0.2">
      <c r="B12" s="533" t="s">
        <v>101</v>
      </c>
      <c r="C12" s="532">
        <f t="shared" si="0"/>
        <v>70000</v>
      </c>
      <c r="D12" s="86">
        <v>30000</v>
      </c>
      <c r="E12" s="86">
        <v>20000</v>
      </c>
      <c r="F12" s="89">
        <v>2</v>
      </c>
      <c r="G12" s="340">
        <f t="shared" si="1"/>
        <v>70000</v>
      </c>
      <c r="H12" s="86">
        <v>30000</v>
      </c>
      <c r="I12" s="86">
        <v>20000</v>
      </c>
      <c r="J12" s="89">
        <v>2</v>
      </c>
      <c r="K12" s="173"/>
      <c r="L12" s="173"/>
    </row>
    <row r="13" spans="2:12" ht="14.25" x14ac:dyDescent="0.2">
      <c r="B13" s="533" t="s">
        <v>102</v>
      </c>
      <c r="C13" s="532">
        <f t="shared" si="0"/>
        <v>70000</v>
      </c>
      <c r="D13" s="86">
        <v>30000</v>
      </c>
      <c r="E13" s="86">
        <v>20000</v>
      </c>
      <c r="F13" s="89">
        <v>2</v>
      </c>
      <c r="G13" s="340">
        <f t="shared" si="1"/>
        <v>70000</v>
      </c>
      <c r="H13" s="86">
        <v>30000</v>
      </c>
      <c r="I13" s="86">
        <v>20000</v>
      </c>
      <c r="J13" s="89">
        <v>2</v>
      </c>
      <c r="K13" s="173"/>
      <c r="L13" s="173"/>
    </row>
    <row r="14" spans="2:12" ht="14.25" x14ac:dyDescent="0.2">
      <c r="B14" s="533" t="s">
        <v>103</v>
      </c>
      <c r="C14" s="532">
        <f t="shared" si="0"/>
        <v>70000</v>
      </c>
      <c r="D14" s="86">
        <v>30000</v>
      </c>
      <c r="E14" s="86">
        <v>20000</v>
      </c>
      <c r="F14" s="89">
        <v>2</v>
      </c>
      <c r="G14" s="340">
        <f>H14+(I14*J14)</f>
        <v>70000</v>
      </c>
      <c r="H14" s="86">
        <v>30000</v>
      </c>
      <c r="I14" s="86">
        <v>20000</v>
      </c>
      <c r="J14" s="89">
        <v>2</v>
      </c>
      <c r="K14" s="173"/>
      <c r="L14" s="173"/>
    </row>
    <row r="15" spans="2:12" ht="14.25" x14ac:dyDescent="0.2">
      <c r="B15" s="533" t="s">
        <v>104</v>
      </c>
      <c r="C15" s="532">
        <f t="shared" si="0"/>
        <v>70000</v>
      </c>
      <c r="D15" s="86">
        <v>30000</v>
      </c>
      <c r="E15" s="86">
        <v>20000</v>
      </c>
      <c r="F15" s="89">
        <v>2</v>
      </c>
      <c r="G15" s="340">
        <f t="shared" si="1"/>
        <v>70000</v>
      </c>
      <c r="H15" s="86">
        <v>30000</v>
      </c>
      <c r="I15" s="86">
        <v>20000</v>
      </c>
      <c r="J15" s="89">
        <v>2</v>
      </c>
      <c r="K15" s="173"/>
      <c r="L15" s="173"/>
    </row>
    <row r="16" spans="2:12" ht="14.25" x14ac:dyDescent="0.2">
      <c r="B16" s="533" t="s">
        <v>105</v>
      </c>
      <c r="C16" s="532">
        <f t="shared" si="0"/>
        <v>70000</v>
      </c>
      <c r="D16" s="86">
        <v>30000</v>
      </c>
      <c r="E16" s="86">
        <v>20000</v>
      </c>
      <c r="F16" s="89">
        <v>2</v>
      </c>
      <c r="G16" s="340">
        <f t="shared" si="1"/>
        <v>70000</v>
      </c>
      <c r="H16" s="86">
        <v>30000</v>
      </c>
      <c r="I16" s="86">
        <v>20000</v>
      </c>
      <c r="J16" s="89">
        <v>2</v>
      </c>
      <c r="K16" s="173"/>
      <c r="L16" s="173"/>
    </row>
    <row r="17" spans="2:12" ht="14.25" x14ac:dyDescent="0.2">
      <c r="B17" s="533" t="s">
        <v>106</v>
      </c>
      <c r="C17" s="532">
        <f t="shared" si="0"/>
        <v>70000</v>
      </c>
      <c r="D17" s="86">
        <v>30000</v>
      </c>
      <c r="E17" s="86">
        <v>20000</v>
      </c>
      <c r="F17" s="89">
        <v>2</v>
      </c>
      <c r="G17" s="340">
        <f t="shared" si="1"/>
        <v>70000</v>
      </c>
      <c r="H17" s="86">
        <v>30000</v>
      </c>
      <c r="I17" s="86">
        <v>20000</v>
      </c>
      <c r="J17" s="89">
        <v>2</v>
      </c>
      <c r="K17" s="173"/>
      <c r="L17" s="173"/>
    </row>
    <row r="18" spans="2:12" ht="15" thickBot="1" x14ac:dyDescent="0.25">
      <c r="B18" s="534" t="s">
        <v>107</v>
      </c>
      <c r="C18" s="532">
        <f t="shared" si="0"/>
        <v>70000</v>
      </c>
      <c r="D18" s="86">
        <v>30000</v>
      </c>
      <c r="E18" s="86">
        <v>20000</v>
      </c>
      <c r="F18" s="89">
        <v>2</v>
      </c>
      <c r="G18" s="340">
        <f t="shared" si="1"/>
        <v>70000</v>
      </c>
      <c r="H18" s="86">
        <v>30000</v>
      </c>
      <c r="I18" s="86">
        <v>20000</v>
      </c>
      <c r="J18" s="89">
        <v>2</v>
      </c>
      <c r="K18" s="173"/>
      <c r="L18" s="173"/>
    </row>
    <row r="19" spans="2:12" ht="15" thickBot="1" x14ac:dyDescent="0.25">
      <c r="B19" s="536" t="s">
        <v>21</v>
      </c>
      <c r="C19" s="537">
        <f t="shared" ref="C19:J19" si="2">SUM(C7:C18)</f>
        <v>840000</v>
      </c>
      <c r="D19" s="538">
        <f t="shared" si="2"/>
        <v>360000</v>
      </c>
      <c r="E19" s="538">
        <f t="shared" si="2"/>
        <v>240000</v>
      </c>
      <c r="F19" s="539">
        <f t="shared" si="2"/>
        <v>24</v>
      </c>
      <c r="G19" s="537">
        <f t="shared" si="2"/>
        <v>840000</v>
      </c>
      <c r="H19" s="538">
        <f t="shared" si="2"/>
        <v>360000</v>
      </c>
      <c r="I19" s="538">
        <f t="shared" si="2"/>
        <v>240000</v>
      </c>
      <c r="J19" s="539">
        <f t="shared" si="2"/>
        <v>24</v>
      </c>
      <c r="K19" s="173"/>
      <c r="L19" s="173"/>
    </row>
    <row r="20" spans="2:12" ht="15" thickBot="1" x14ac:dyDescent="0.25">
      <c r="B20" s="540" t="s">
        <v>108</v>
      </c>
      <c r="C20" s="555">
        <f t="shared" ref="C20:J20" si="3">SUM(C19/12)</f>
        <v>70000</v>
      </c>
      <c r="D20" s="556">
        <f t="shared" si="3"/>
        <v>30000</v>
      </c>
      <c r="E20" s="556">
        <f t="shared" si="3"/>
        <v>20000</v>
      </c>
      <c r="F20" s="557">
        <f t="shared" si="3"/>
        <v>2</v>
      </c>
      <c r="G20" s="555">
        <f t="shared" si="3"/>
        <v>70000</v>
      </c>
      <c r="H20" s="556">
        <f t="shared" si="3"/>
        <v>30000</v>
      </c>
      <c r="I20" s="556">
        <f t="shared" si="3"/>
        <v>20000</v>
      </c>
      <c r="J20" s="557">
        <f t="shared" si="3"/>
        <v>2</v>
      </c>
      <c r="K20" s="173"/>
      <c r="L20" s="173"/>
    </row>
    <row r="24" spans="2:12" ht="20.25" customHeight="1" x14ac:dyDescent="0.2">
      <c r="B24" s="669" t="s">
        <v>242</v>
      </c>
      <c r="C24" s="669"/>
      <c r="D24" s="669"/>
      <c r="E24" s="669"/>
      <c r="F24" s="669"/>
      <c r="G24" s="669"/>
      <c r="H24" s="669"/>
      <c r="I24" s="669"/>
      <c r="J24" s="669"/>
      <c r="K24" s="541"/>
      <c r="L24" s="541"/>
    </row>
    <row r="25" spans="2:12" ht="15" thickBot="1" x14ac:dyDescent="0.25">
      <c r="B25" s="542"/>
      <c r="C25" s="542"/>
      <c r="D25" s="542"/>
      <c r="E25" s="542"/>
      <c r="F25" s="542"/>
      <c r="G25" s="542"/>
      <c r="H25" s="173"/>
      <c r="I25" s="173"/>
      <c r="J25" s="453" t="s">
        <v>46</v>
      </c>
      <c r="K25" s="173"/>
      <c r="L25" s="292"/>
    </row>
    <row r="26" spans="2:12" ht="30" customHeight="1" x14ac:dyDescent="0.2">
      <c r="B26" s="890" t="s">
        <v>241</v>
      </c>
      <c r="C26" s="735" t="s">
        <v>864</v>
      </c>
      <c r="D26" s="736"/>
      <c r="E26" s="736"/>
      <c r="F26" s="736"/>
      <c r="G26" s="889" t="s">
        <v>865</v>
      </c>
      <c r="H26" s="736"/>
      <c r="I26" s="736"/>
      <c r="J26" s="737"/>
    </row>
    <row r="27" spans="2:12" ht="30" customHeight="1" thickBot="1" x14ac:dyDescent="0.25">
      <c r="B27" s="891"/>
      <c r="C27" s="524" t="s">
        <v>245</v>
      </c>
      <c r="D27" s="524" t="s">
        <v>202</v>
      </c>
      <c r="E27" s="524" t="s">
        <v>243</v>
      </c>
      <c r="F27" s="525" t="s">
        <v>244</v>
      </c>
      <c r="G27" s="523" t="s">
        <v>245</v>
      </c>
      <c r="H27" s="524" t="s">
        <v>202</v>
      </c>
      <c r="I27" s="524" t="s">
        <v>243</v>
      </c>
      <c r="J27" s="525" t="s">
        <v>244</v>
      </c>
    </row>
    <row r="28" spans="2:12" ht="13.5" thickBot="1" x14ac:dyDescent="0.25">
      <c r="B28" s="543"/>
      <c r="C28" s="529" t="s">
        <v>246</v>
      </c>
      <c r="D28" s="529">
        <v>1</v>
      </c>
      <c r="E28" s="529">
        <v>2</v>
      </c>
      <c r="F28" s="530">
        <v>3</v>
      </c>
      <c r="G28" s="528" t="s">
        <v>246</v>
      </c>
      <c r="H28" s="529">
        <v>1</v>
      </c>
      <c r="I28" s="529">
        <v>2</v>
      </c>
      <c r="J28" s="530">
        <v>3</v>
      </c>
    </row>
    <row r="29" spans="2:12" x14ac:dyDescent="0.2">
      <c r="B29" s="544" t="s">
        <v>96</v>
      </c>
      <c r="C29" s="86">
        <f>D29+(E29*F29)</f>
        <v>109375</v>
      </c>
      <c r="D29" s="86">
        <v>46875</v>
      </c>
      <c r="E29" s="86">
        <v>31250</v>
      </c>
      <c r="F29" s="89">
        <v>2</v>
      </c>
      <c r="G29" s="340">
        <f>H29+(I29*J29)</f>
        <v>108040</v>
      </c>
      <c r="H29" s="86">
        <v>46300</v>
      </c>
      <c r="I29" s="86">
        <v>30870</v>
      </c>
      <c r="J29" s="89">
        <v>2</v>
      </c>
    </row>
    <row r="30" spans="2:12" x14ac:dyDescent="0.2">
      <c r="B30" s="545" t="s">
        <v>97</v>
      </c>
      <c r="C30" s="86">
        <f t="shared" ref="C30:C39" si="4">D30+(E30*F30)</f>
        <v>109375</v>
      </c>
      <c r="D30" s="86">
        <v>46875</v>
      </c>
      <c r="E30" s="86">
        <v>31250</v>
      </c>
      <c r="F30" s="89">
        <v>2</v>
      </c>
      <c r="G30" s="629">
        <f t="shared" ref="G30:G39" si="5">H30+(I30*J30)</f>
        <v>108040</v>
      </c>
      <c r="H30" s="86">
        <v>46300</v>
      </c>
      <c r="I30" s="86">
        <v>30870</v>
      </c>
      <c r="J30" s="89">
        <v>2</v>
      </c>
    </row>
    <row r="31" spans="2:12" x14ac:dyDescent="0.2">
      <c r="B31" s="545" t="s">
        <v>98</v>
      </c>
      <c r="C31" s="86">
        <f t="shared" si="4"/>
        <v>109375</v>
      </c>
      <c r="D31" s="86">
        <v>46875</v>
      </c>
      <c r="E31" s="86">
        <v>31250</v>
      </c>
      <c r="F31" s="89">
        <v>2</v>
      </c>
      <c r="G31" s="629">
        <f t="shared" si="5"/>
        <v>108040</v>
      </c>
      <c r="H31" s="86">
        <v>46300</v>
      </c>
      <c r="I31" s="86">
        <v>30870</v>
      </c>
      <c r="J31" s="89">
        <v>2</v>
      </c>
    </row>
    <row r="32" spans="2:12" x14ac:dyDescent="0.2">
      <c r="B32" s="545" t="s">
        <v>99</v>
      </c>
      <c r="C32" s="86">
        <f t="shared" si="4"/>
        <v>109375</v>
      </c>
      <c r="D32" s="86">
        <v>46875</v>
      </c>
      <c r="E32" s="86">
        <v>31250</v>
      </c>
      <c r="F32" s="89">
        <v>2</v>
      </c>
      <c r="G32" s="629">
        <f t="shared" si="5"/>
        <v>108040</v>
      </c>
      <c r="H32" s="86">
        <v>46300</v>
      </c>
      <c r="I32" s="86">
        <v>30870</v>
      </c>
      <c r="J32" s="89">
        <v>2</v>
      </c>
    </row>
    <row r="33" spans="2:12" x14ac:dyDescent="0.2">
      <c r="B33" s="545" t="s">
        <v>100</v>
      </c>
      <c r="C33" s="86">
        <f t="shared" si="4"/>
        <v>109375</v>
      </c>
      <c r="D33" s="86">
        <v>46875</v>
      </c>
      <c r="E33" s="86">
        <v>31250</v>
      </c>
      <c r="F33" s="89">
        <v>2</v>
      </c>
      <c r="G33" s="629">
        <f t="shared" si="5"/>
        <v>108040</v>
      </c>
      <c r="H33" s="86">
        <v>46300</v>
      </c>
      <c r="I33" s="86">
        <v>30870</v>
      </c>
      <c r="J33" s="89">
        <v>2</v>
      </c>
    </row>
    <row r="34" spans="2:12" x14ac:dyDescent="0.2">
      <c r="B34" s="545" t="s">
        <v>101</v>
      </c>
      <c r="C34" s="86">
        <f t="shared" si="4"/>
        <v>109375</v>
      </c>
      <c r="D34" s="86">
        <v>46875</v>
      </c>
      <c r="E34" s="86">
        <v>31250</v>
      </c>
      <c r="F34" s="89">
        <v>2</v>
      </c>
      <c r="G34" s="629">
        <f t="shared" si="5"/>
        <v>108040</v>
      </c>
      <c r="H34" s="86">
        <v>46300</v>
      </c>
      <c r="I34" s="86">
        <v>30870</v>
      </c>
      <c r="J34" s="89">
        <v>2</v>
      </c>
    </row>
    <row r="35" spans="2:12" x14ac:dyDescent="0.2">
      <c r="B35" s="545" t="s">
        <v>102</v>
      </c>
      <c r="C35" s="86">
        <f t="shared" si="4"/>
        <v>109375</v>
      </c>
      <c r="D35" s="86">
        <v>46875</v>
      </c>
      <c r="E35" s="86">
        <v>31250</v>
      </c>
      <c r="F35" s="89">
        <v>2</v>
      </c>
      <c r="G35" s="629">
        <f t="shared" si="5"/>
        <v>108040</v>
      </c>
      <c r="H35" s="86">
        <v>46300</v>
      </c>
      <c r="I35" s="86">
        <v>30870</v>
      </c>
      <c r="J35" s="89">
        <v>2</v>
      </c>
    </row>
    <row r="36" spans="2:12" x14ac:dyDescent="0.2">
      <c r="B36" s="545" t="s">
        <v>103</v>
      </c>
      <c r="C36" s="86">
        <f t="shared" si="4"/>
        <v>109375</v>
      </c>
      <c r="D36" s="86">
        <v>46875</v>
      </c>
      <c r="E36" s="86">
        <v>31250</v>
      </c>
      <c r="F36" s="89">
        <v>2</v>
      </c>
      <c r="G36" s="629">
        <f t="shared" si="5"/>
        <v>108040</v>
      </c>
      <c r="H36" s="86">
        <v>46300</v>
      </c>
      <c r="I36" s="86">
        <v>30870</v>
      </c>
      <c r="J36" s="89">
        <v>2</v>
      </c>
    </row>
    <row r="37" spans="2:12" x14ac:dyDescent="0.2">
      <c r="B37" s="545" t="s">
        <v>104</v>
      </c>
      <c r="C37" s="86">
        <f t="shared" si="4"/>
        <v>109375</v>
      </c>
      <c r="D37" s="86">
        <v>46875</v>
      </c>
      <c r="E37" s="86">
        <v>31250</v>
      </c>
      <c r="F37" s="89">
        <v>2</v>
      </c>
      <c r="G37" s="629">
        <f t="shared" si="5"/>
        <v>108040</v>
      </c>
      <c r="H37" s="86">
        <v>46300</v>
      </c>
      <c r="I37" s="86">
        <v>30870</v>
      </c>
      <c r="J37" s="89">
        <v>2</v>
      </c>
    </row>
    <row r="38" spans="2:12" x14ac:dyDescent="0.2">
      <c r="B38" s="545" t="s">
        <v>105</v>
      </c>
      <c r="C38" s="86">
        <f t="shared" si="4"/>
        <v>109375</v>
      </c>
      <c r="D38" s="86">
        <v>46875</v>
      </c>
      <c r="E38" s="86">
        <v>31250</v>
      </c>
      <c r="F38" s="89">
        <v>2</v>
      </c>
      <c r="G38" s="629">
        <f t="shared" si="5"/>
        <v>108040</v>
      </c>
      <c r="H38" s="86">
        <v>46300</v>
      </c>
      <c r="I38" s="86">
        <v>30870</v>
      </c>
      <c r="J38" s="89">
        <v>2</v>
      </c>
    </row>
    <row r="39" spans="2:12" x14ac:dyDescent="0.2">
      <c r="B39" s="545" t="s">
        <v>106</v>
      </c>
      <c r="C39" s="86">
        <f t="shared" si="4"/>
        <v>109375</v>
      </c>
      <c r="D39" s="86">
        <v>46875</v>
      </c>
      <c r="E39" s="86">
        <v>31250</v>
      </c>
      <c r="F39" s="89">
        <v>2</v>
      </c>
      <c r="G39" s="629">
        <f t="shared" si="5"/>
        <v>108040</v>
      </c>
      <c r="H39" s="86">
        <v>46300</v>
      </c>
      <c r="I39" s="86">
        <v>30870</v>
      </c>
      <c r="J39" s="89">
        <v>2</v>
      </c>
    </row>
    <row r="40" spans="2:12" ht="13.5" thickBot="1" x14ac:dyDescent="0.25">
      <c r="B40" s="546" t="s">
        <v>107</v>
      </c>
      <c r="C40" s="86">
        <f>D40+(E40*F40)</f>
        <v>109375</v>
      </c>
      <c r="D40" s="86">
        <v>46875</v>
      </c>
      <c r="E40" s="86">
        <v>31250</v>
      </c>
      <c r="F40" s="89">
        <v>2</v>
      </c>
      <c r="G40" s="629">
        <f>H40+(I40*J40)</f>
        <v>108040</v>
      </c>
      <c r="H40" s="86">
        <v>46300</v>
      </c>
      <c r="I40" s="86">
        <v>30870</v>
      </c>
      <c r="J40" s="89">
        <v>2</v>
      </c>
    </row>
    <row r="41" spans="2:12" ht="13.5" thickBot="1" x14ac:dyDescent="0.25">
      <c r="B41" s="547" t="s">
        <v>21</v>
      </c>
      <c r="C41" s="538">
        <f t="shared" ref="C41:J41" si="6">SUM(C29:C40)</f>
        <v>1312500</v>
      </c>
      <c r="D41" s="538">
        <f t="shared" si="6"/>
        <v>562500</v>
      </c>
      <c r="E41" s="538">
        <f t="shared" si="6"/>
        <v>375000</v>
      </c>
      <c r="F41" s="538">
        <f t="shared" si="6"/>
        <v>24</v>
      </c>
      <c r="G41" s="548">
        <f t="shared" si="6"/>
        <v>1296480</v>
      </c>
      <c r="H41" s="538">
        <f t="shared" si="6"/>
        <v>555600</v>
      </c>
      <c r="I41" s="538">
        <f t="shared" si="6"/>
        <v>370440</v>
      </c>
      <c r="J41" s="539">
        <f t="shared" si="6"/>
        <v>24</v>
      </c>
    </row>
    <row r="42" spans="2:12" ht="13.5" thickBot="1" x14ac:dyDescent="0.25">
      <c r="B42" s="549" t="s">
        <v>108</v>
      </c>
      <c r="C42" s="556">
        <f t="shared" ref="C42:J42" si="7">SUM(C41/12)</f>
        <v>109375</v>
      </c>
      <c r="D42" s="556">
        <f t="shared" si="7"/>
        <v>46875</v>
      </c>
      <c r="E42" s="556">
        <f t="shared" si="7"/>
        <v>31250</v>
      </c>
      <c r="F42" s="556">
        <f t="shared" si="7"/>
        <v>2</v>
      </c>
      <c r="G42" s="559">
        <f t="shared" si="7"/>
        <v>108040</v>
      </c>
      <c r="H42" s="556">
        <f t="shared" si="7"/>
        <v>46300</v>
      </c>
      <c r="I42" s="556">
        <f t="shared" si="7"/>
        <v>30870</v>
      </c>
      <c r="J42" s="557">
        <f t="shared" si="7"/>
        <v>2</v>
      </c>
    </row>
    <row r="43" spans="2:12" ht="14.25" x14ac:dyDescent="0.2">
      <c r="B43" s="550"/>
      <c r="C43" s="551"/>
      <c r="D43" s="551"/>
      <c r="E43" s="173"/>
      <c r="F43" s="173"/>
      <c r="G43" s="173"/>
      <c r="H43" s="551"/>
      <c r="I43" s="551"/>
      <c r="J43" s="173"/>
      <c r="K43" s="173"/>
      <c r="L43" s="173"/>
    </row>
    <row r="44" spans="2:12" ht="14.25" x14ac:dyDescent="0.2">
      <c r="B44" s="550"/>
      <c r="C44" s="551"/>
      <c r="D44" s="551"/>
      <c r="E44" s="173"/>
      <c r="F44" s="173"/>
      <c r="G44" s="173"/>
      <c r="H44" s="551"/>
      <c r="I44" s="551"/>
      <c r="J44" s="173"/>
      <c r="K44" s="173"/>
      <c r="L44" s="173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A1:H80"/>
  <sheetViews>
    <sheetView showGridLines="0" topLeftCell="A4" workbookViewId="0">
      <selection activeCell="F23" sqref="F23"/>
    </sheetView>
  </sheetViews>
  <sheetFormatPr defaultRowHeight="15.75" x14ac:dyDescent="0.25"/>
  <cols>
    <col min="1" max="1" width="3" style="43" customWidth="1"/>
    <col min="2" max="2" width="18.7109375" style="43" customWidth="1"/>
    <col min="3" max="3" width="69.7109375" style="43" customWidth="1"/>
    <col min="4" max="4" width="9.140625" style="43"/>
    <col min="5" max="6" width="15.7109375" style="43" customWidth="1"/>
    <col min="7" max="16384" width="9.140625" style="43"/>
  </cols>
  <sheetData>
    <row r="1" spans="1:8" x14ac:dyDescent="0.25">
      <c r="F1" s="53" t="s">
        <v>712</v>
      </c>
      <c r="G1" s="51"/>
      <c r="H1" s="51"/>
    </row>
    <row r="2" spans="1:8" ht="20.25" customHeight="1" x14ac:dyDescent="0.25">
      <c r="B2" s="669" t="s">
        <v>572</v>
      </c>
      <c r="C2" s="669"/>
      <c r="D2" s="669"/>
      <c r="E2" s="669"/>
      <c r="F2" s="669"/>
    </row>
    <row r="3" spans="1:8" ht="12" customHeight="1" x14ac:dyDescent="0.25">
      <c r="B3" s="669" t="s">
        <v>801</v>
      </c>
      <c r="C3" s="669"/>
      <c r="D3" s="669"/>
      <c r="E3" s="669"/>
      <c r="F3" s="669"/>
    </row>
    <row r="4" spans="1:8" ht="16.5" thickBot="1" x14ac:dyDescent="0.3">
      <c r="F4" s="560" t="s">
        <v>198</v>
      </c>
    </row>
    <row r="5" spans="1:8" ht="40.5" customHeight="1" x14ac:dyDescent="0.25">
      <c r="A5" s="48"/>
      <c r="B5" s="561" t="s">
        <v>257</v>
      </c>
      <c r="C5" s="562" t="s">
        <v>258</v>
      </c>
      <c r="D5" s="562" t="s">
        <v>40</v>
      </c>
      <c r="E5" s="563" t="s">
        <v>809</v>
      </c>
      <c r="F5" s="564" t="s">
        <v>810</v>
      </c>
    </row>
    <row r="6" spans="1:8" ht="16.5" customHeight="1" thickBot="1" x14ac:dyDescent="0.3">
      <c r="A6" s="48"/>
      <c r="B6" s="27">
        <v>1</v>
      </c>
      <c r="C6" s="24">
        <v>2</v>
      </c>
      <c r="D6" s="24">
        <v>3</v>
      </c>
      <c r="E6" s="24">
        <v>4</v>
      </c>
      <c r="F6" s="50">
        <v>5</v>
      </c>
    </row>
    <row r="7" spans="1:8" ht="15.75" customHeight="1" x14ac:dyDescent="0.25">
      <c r="A7" s="48"/>
      <c r="B7" s="677"/>
      <c r="C7" s="49" t="s">
        <v>573</v>
      </c>
      <c r="D7" s="679">
        <v>1001</v>
      </c>
      <c r="E7" s="681">
        <f>SUM(E9,E12,E15,E16,-E17,E18,E19)</f>
        <v>1138847</v>
      </c>
      <c r="F7" s="682">
        <f>SUM(F9,F12,F15,F16,-F17,F18,F19)</f>
        <v>308661</v>
      </c>
    </row>
    <row r="8" spans="1:8" ht="15.75" customHeight="1" x14ac:dyDescent="0.25">
      <c r="A8" s="48"/>
      <c r="B8" s="678"/>
      <c r="C8" s="49" t="s">
        <v>574</v>
      </c>
      <c r="D8" s="680"/>
      <c r="E8" s="672"/>
      <c r="F8" s="674"/>
    </row>
    <row r="9" spans="1:8" ht="20.100000000000001" customHeight="1" x14ac:dyDescent="0.25">
      <c r="A9" s="48"/>
      <c r="B9" s="28">
        <v>60</v>
      </c>
      <c r="C9" s="19" t="s">
        <v>575</v>
      </c>
      <c r="D9" s="45">
        <v>1002</v>
      </c>
      <c r="E9" s="54">
        <f>SUM(E10:E11)</f>
        <v>0</v>
      </c>
      <c r="F9" s="55">
        <f>SUM(F10:F11)</f>
        <v>0</v>
      </c>
    </row>
    <row r="10" spans="1:8" ht="20.100000000000001" customHeight="1" x14ac:dyDescent="0.25">
      <c r="A10" s="48"/>
      <c r="B10" s="28" t="s">
        <v>576</v>
      </c>
      <c r="C10" s="19" t="s">
        <v>577</v>
      </c>
      <c r="D10" s="45">
        <v>1003</v>
      </c>
      <c r="E10" s="54"/>
      <c r="F10" s="55"/>
    </row>
    <row r="11" spans="1:8" ht="20.100000000000001" customHeight="1" x14ac:dyDescent="0.25">
      <c r="A11" s="48"/>
      <c r="B11" s="28" t="s">
        <v>578</v>
      </c>
      <c r="C11" s="19" t="s">
        <v>579</v>
      </c>
      <c r="D11" s="45">
        <v>1004</v>
      </c>
      <c r="E11" s="54"/>
      <c r="F11" s="55"/>
    </row>
    <row r="12" spans="1:8" ht="20.100000000000001" customHeight="1" x14ac:dyDescent="0.25">
      <c r="A12" s="48"/>
      <c r="B12" s="28">
        <v>61</v>
      </c>
      <c r="C12" s="19" t="s">
        <v>580</v>
      </c>
      <c r="D12" s="45">
        <v>1005</v>
      </c>
      <c r="E12" s="54">
        <f>SUM(E13:E14)</f>
        <v>1037847</v>
      </c>
      <c r="F12" s="55">
        <f>SUM(F13:F14)</f>
        <v>262931</v>
      </c>
    </row>
    <row r="13" spans="1:8" ht="20.100000000000001" customHeight="1" x14ac:dyDescent="0.25">
      <c r="A13" s="48"/>
      <c r="B13" s="28" t="s">
        <v>581</v>
      </c>
      <c r="C13" s="19" t="s">
        <v>582</v>
      </c>
      <c r="D13" s="45">
        <v>1006</v>
      </c>
      <c r="E13" s="54">
        <v>1037847</v>
      </c>
      <c r="F13" s="55">
        <v>262931</v>
      </c>
    </row>
    <row r="14" spans="1:8" ht="20.100000000000001" customHeight="1" x14ac:dyDescent="0.25">
      <c r="A14" s="48"/>
      <c r="B14" s="28" t="s">
        <v>583</v>
      </c>
      <c r="C14" s="19" t="s">
        <v>584</v>
      </c>
      <c r="D14" s="45">
        <v>1007</v>
      </c>
      <c r="E14" s="54"/>
      <c r="F14" s="55"/>
    </row>
    <row r="15" spans="1:8" ht="20.100000000000001" customHeight="1" x14ac:dyDescent="0.25">
      <c r="A15" s="48"/>
      <c r="B15" s="28">
        <v>62</v>
      </c>
      <c r="C15" s="19" t="s">
        <v>585</v>
      </c>
      <c r="D15" s="45">
        <v>1008</v>
      </c>
      <c r="E15" s="54"/>
      <c r="F15" s="55"/>
    </row>
    <row r="16" spans="1:8" ht="20.100000000000001" customHeight="1" x14ac:dyDescent="0.25">
      <c r="A16" s="48"/>
      <c r="B16" s="28">
        <v>630</v>
      </c>
      <c r="C16" s="19" t="s">
        <v>586</v>
      </c>
      <c r="D16" s="45">
        <v>1009</v>
      </c>
      <c r="E16" s="54"/>
      <c r="F16" s="55"/>
    </row>
    <row r="17" spans="1:6" ht="20.100000000000001" customHeight="1" x14ac:dyDescent="0.25">
      <c r="A17" s="48"/>
      <c r="B17" s="28">
        <v>631</v>
      </c>
      <c r="C17" s="19" t="s">
        <v>587</v>
      </c>
      <c r="D17" s="45">
        <v>1010</v>
      </c>
      <c r="E17" s="54"/>
      <c r="F17" s="55"/>
    </row>
    <row r="18" spans="1:6" ht="20.100000000000001" customHeight="1" x14ac:dyDescent="0.25">
      <c r="A18" s="48"/>
      <c r="B18" s="28" t="s">
        <v>588</v>
      </c>
      <c r="C18" s="19" t="s">
        <v>589</v>
      </c>
      <c r="D18" s="45">
        <v>1011</v>
      </c>
      <c r="E18" s="54">
        <v>101000</v>
      </c>
      <c r="F18" s="55">
        <v>45730</v>
      </c>
    </row>
    <row r="19" spans="1:6" ht="25.5" customHeight="1" x14ac:dyDescent="0.25">
      <c r="A19" s="48"/>
      <c r="B19" s="28" t="s">
        <v>590</v>
      </c>
      <c r="C19" s="19" t="s">
        <v>591</v>
      </c>
      <c r="D19" s="45">
        <v>1012</v>
      </c>
      <c r="E19" s="54"/>
      <c r="F19" s="55"/>
    </row>
    <row r="20" spans="1:6" ht="20.100000000000001" customHeight="1" x14ac:dyDescent="0.25">
      <c r="A20" s="48"/>
      <c r="B20" s="28"/>
      <c r="C20" s="13" t="s">
        <v>592</v>
      </c>
      <c r="D20" s="45">
        <v>1013</v>
      </c>
      <c r="E20" s="54">
        <f>SUM(E21:E23,E27:E31)</f>
        <v>1136547</v>
      </c>
      <c r="F20" s="55">
        <f>SUM(F21:F23,F27:F31)</f>
        <v>323534</v>
      </c>
    </row>
    <row r="21" spans="1:6" ht="20.100000000000001" customHeight="1" x14ac:dyDescent="0.25">
      <c r="A21" s="48"/>
      <c r="B21" s="28">
        <v>50</v>
      </c>
      <c r="C21" s="19" t="s">
        <v>593</v>
      </c>
      <c r="D21" s="45">
        <v>1014</v>
      </c>
      <c r="E21" s="54"/>
      <c r="F21" s="55"/>
    </row>
    <row r="22" spans="1:6" ht="20.100000000000001" customHeight="1" x14ac:dyDescent="0.25">
      <c r="A22" s="48"/>
      <c r="B22" s="28">
        <v>51</v>
      </c>
      <c r="C22" s="19" t="s">
        <v>594</v>
      </c>
      <c r="D22" s="45">
        <v>1015</v>
      </c>
      <c r="E22" s="54">
        <v>51950</v>
      </c>
      <c r="F22" s="55">
        <v>11660</v>
      </c>
    </row>
    <row r="23" spans="1:6" ht="25.5" customHeight="1" x14ac:dyDescent="0.25">
      <c r="A23" s="48"/>
      <c r="B23" s="28">
        <v>52</v>
      </c>
      <c r="C23" s="19" t="s">
        <v>595</v>
      </c>
      <c r="D23" s="45">
        <v>1016</v>
      </c>
      <c r="E23" s="54">
        <v>37760</v>
      </c>
      <c r="F23" s="55">
        <f>SUM(F24:F26)</f>
        <v>28212</v>
      </c>
    </row>
    <row r="24" spans="1:6" ht="20.100000000000001" customHeight="1" x14ac:dyDescent="0.25">
      <c r="A24" s="48"/>
      <c r="B24" s="28">
        <v>520</v>
      </c>
      <c r="C24" s="19" t="s">
        <v>596</v>
      </c>
      <c r="D24" s="45">
        <v>1017</v>
      </c>
      <c r="E24" s="54">
        <v>29134</v>
      </c>
      <c r="F24" s="55">
        <v>21629</v>
      </c>
    </row>
    <row r="25" spans="1:6" ht="20.100000000000001" customHeight="1" x14ac:dyDescent="0.25">
      <c r="A25" s="48"/>
      <c r="B25" s="28">
        <v>521</v>
      </c>
      <c r="C25" s="19" t="s">
        <v>597</v>
      </c>
      <c r="D25" s="45">
        <v>1018</v>
      </c>
      <c r="E25" s="54">
        <v>4414</v>
      </c>
      <c r="F25" s="55">
        <v>3277</v>
      </c>
    </row>
    <row r="26" spans="1:6" ht="20.100000000000001" customHeight="1" x14ac:dyDescent="0.25">
      <c r="A26" s="48"/>
      <c r="B26" s="28" t="s">
        <v>598</v>
      </c>
      <c r="C26" s="19" t="s">
        <v>599</v>
      </c>
      <c r="D26" s="45">
        <v>1019</v>
      </c>
      <c r="E26" s="54">
        <v>4212</v>
      </c>
      <c r="F26" s="55">
        <v>3306</v>
      </c>
    </row>
    <row r="27" spans="1:6" ht="20.100000000000001" customHeight="1" x14ac:dyDescent="0.25">
      <c r="A27" s="48"/>
      <c r="B27" s="28">
        <v>540</v>
      </c>
      <c r="C27" s="19" t="s">
        <v>600</v>
      </c>
      <c r="D27" s="45">
        <v>1020</v>
      </c>
      <c r="E27" s="54">
        <v>1300</v>
      </c>
      <c r="F27" s="55">
        <v>662</v>
      </c>
    </row>
    <row r="28" spans="1:6" ht="25.5" customHeight="1" x14ac:dyDescent="0.25">
      <c r="A28" s="48"/>
      <c r="B28" s="28" t="s">
        <v>601</v>
      </c>
      <c r="C28" s="19" t="s">
        <v>602</v>
      </c>
      <c r="D28" s="45">
        <v>1021</v>
      </c>
      <c r="E28" s="54"/>
      <c r="F28" s="55">
        <v>11</v>
      </c>
    </row>
    <row r="29" spans="1:6" ht="20.100000000000001" customHeight="1" x14ac:dyDescent="0.25">
      <c r="A29" s="48"/>
      <c r="B29" s="28">
        <v>53</v>
      </c>
      <c r="C29" s="19" t="s">
        <v>603</v>
      </c>
      <c r="D29" s="45">
        <v>1022</v>
      </c>
      <c r="E29" s="54">
        <v>982667</v>
      </c>
      <c r="F29" s="55">
        <v>276223</v>
      </c>
    </row>
    <row r="30" spans="1:6" ht="20.100000000000001" customHeight="1" x14ac:dyDescent="0.25">
      <c r="A30" s="48"/>
      <c r="B30" s="28" t="s">
        <v>604</v>
      </c>
      <c r="C30" s="19" t="s">
        <v>605</v>
      </c>
      <c r="D30" s="45">
        <v>1023</v>
      </c>
      <c r="E30" s="54"/>
      <c r="F30" s="55"/>
    </row>
    <row r="31" spans="1:6" ht="20.100000000000001" customHeight="1" x14ac:dyDescent="0.25">
      <c r="A31" s="48"/>
      <c r="B31" s="28">
        <v>55</v>
      </c>
      <c r="C31" s="19" t="s">
        <v>606</v>
      </c>
      <c r="D31" s="45">
        <v>1024</v>
      </c>
      <c r="E31" s="54">
        <v>62870</v>
      </c>
      <c r="F31" s="55">
        <v>6766</v>
      </c>
    </row>
    <row r="32" spans="1:6" ht="20.100000000000001" customHeight="1" x14ac:dyDescent="0.25">
      <c r="A32" s="48"/>
      <c r="B32" s="28"/>
      <c r="C32" s="13" t="s">
        <v>607</v>
      </c>
      <c r="D32" s="45">
        <v>1025</v>
      </c>
      <c r="E32" s="54">
        <f>SUM(E7-E20)</f>
        <v>2300</v>
      </c>
      <c r="F32" s="55"/>
    </row>
    <row r="33" spans="1:6" ht="20.100000000000001" customHeight="1" x14ac:dyDescent="0.25">
      <c r="A33" s="48"/>
      <c r="B33" s="28"/>
      <c r="C33" s="13" t="s">
        <v>608</v>
      </c>
      <c r="D33" s="45">
        <v>1026</v>
      </c>
      <c r="E33" s="54"/>
      <c r="F33" s="55">
        <v>14873</v>
      </c>
    </row>
    <row r="34" spans="1:6" ht="20.100000000000001" customHeight="1" x14ac:dyDescent="0.25">
      <c r="A34" s="48"/>
      <c r="B34" s="675"/>
      <c r="C34" s="15" t="s">
        <v>609</v>
      </c>
      <c r="D34" s="676">
        <v>1027</v>
      </c>
      <c r="E34" s="671">
        <f>SUM(E36:E39)</f>
        <v>0</v>
      </c>
      <c r="F34" s="673">
        <f>SUM(F36:F39)</f>
        <v>0</v>
      </c>
    </row>
    <row r="35" spans="1:6" ht="14.25" customHeight="1" x14ac:dyDescent="0.25">
      <c r="A35" s="48"/>
      <c r="B35" s="675"/>
      <c r="C35" s="16" t="s">
        <v>610</v>
      </c>
      <c r="D35" s="676"/>
      <c r="E35" s="672"/>
      <c r="F35" s="674"/>
    </row>
    <row r="36" spans="1:6" ht="24" customHeight="1" x14ac:dyDescent="0.25">
      <c r="A36" s="48"/>
      <c r="B36" s="28" t="s">
        <v>611</v>
      </c>
      <c r="C36" s="19" t="s">
        <v>612</v>
      </c>
      <c r="D36" s="45">
        <v>1028</v>
      </c>
      <c r="E36" s="54"/>
      <c r="F36" s="55"/>
    </row>
    <row r="37" spans="1:6" ht="20.100000000000001" customHeight="1" x14ac:dyDescent="0.25">
      <c r="A37" s="48"/>
      <c r="B37" s="28">
        <v>662</v>
      </c>
      <c r="C37" s="19" t="s">
        <v>613</v>
      </c>
      <c r="D37" s="45">
        <v>1029</v>
      </c>
      <c r="E37" s="54"/>
      <c r="F37" s="55"/>
    </row>
    <row r="38" spans="1:6" ht="20.100000000000001" customHeight="1" x14ac:dyDescent="0.25">
      <c r="A38" s="48"/>
      <c r="B38" s="28" t="s">
        <v>109</v>
      </c>
      <c r="C38" s="19" t="s">
        <v>614</v>
      </c>
      <c r="D38" s="45">
        <v>1030</v>
      </c>
      <c r="E38" s="54"/>
      <c r="F38" s="55"/>
    </row>
    <row r="39" spans="1:6" ht="20.100000000000001" customHeight="1" x14ac:dyDescent="0.25">
      <c r="A39" s="48"/>
      <c r="B39" s="28" t="s">
        <v>615</v>
      </c>
      <c r="C39" s="19" t="s">
        <v>616</v>
      </c>
      <c r="D39" s="45">
        <v>1031</v>
      </c>
      <c r="E39" s="54"/>
      <c r="F39" s="55"/>
    </row>
    <row r="40" spans="1:6" ht="20.100000000000001" customHeight="1" x14ac:dyDescent="0.25">
      <c r="A40" s="48"/>
      <c r="B40" s="675"/>
      <c r="C40" s="15" t="s">
        <v>617</v>
      </c>
      <c r="D40" s="676">
        <v>1032</v>
      </c>
      <c r="E40" s="671">
        <f>SUM(E42:E45)</f>
        <v>0</v>
      </c>
      <c r="F40" s="673">
        <f>SUM(F42:F45)</f>
        <v>0</v>
      </c>
    </row>
    <row r="41" spans="1:6" ht="20.100000000000001" customHeight="1" x14ac:dyDescent="0.25">
      <c r="A41" s="48"/>
      <c r="B41" s="675"/>
      <c r="C41" s="16" t="s">
        <v>618</v>
      </c>
      <c r="D41" s="676"/>
      <c r="E41" s="672"/>
      <c r="F41" s="674"/>
    </row>
    <row r="42" spans="1:6" ht="27.75" customHeight="1" x14ac:dyDescent="0.25">
      <c r="A42" s="48"/>
      <c r="B42" s="28" t="s">
        <v>619</v>
      </c>
      <c r="C42" s="19" t="s">
        <v>620</v>
      </c>
      <c r="D42" s="45">
        <v>1033</v>
      </c>
      <c r="E42" s="54"/>
      <c r="F42" s="55"/>
    </row>
    <row r="43" spans="1:6" ht="20.100000000000001" customHeight="1" x14ac:dyDescent="0.25">
      <c r="A43" s="48"/>
      <c r="B43" s="28">
        <v>562</v>
      </c>
      <c r="C43" s="19" t="s">
        <v>621</v>
      </c>
      <c r="D43" s="45">
        <v>1034</v>
      </c>
      <c r="E43" s="54"/>
      <c r="F43" s="55"/>
    </row>
    <row r="44" spans="1:6" ht="20.100000000000001" customHeight="1" x14ac:dyDescent="0.25">
      <c r="A44" s="48"/>
      <c r="B44" s="28" t="s">
        <v>134</v>
      </c>
      <c r="C44" s="19" t="s">
        <v>622</v>
      </c>
      <c r="D44" s="45">
        <v>1035</v>
      </c>
      <c r="E44" s="54"/>
      <c r="F44" s="55"/>
    </row>
    <row r="45" spans="1:6" ht="20.100000000000001" customHeight="1" x14ac:dyDescent="0.25">
      <c r="A45" s="48"/>
      <c r="B45" s="28" t="s">
        <v>623</v>
      </c>
      <c r="C45" s="19" t="s">
        <v>624</v>
      </c>
      <c r="D45" s="45">
        <v>1036</v>
      </c>
      <c r="E45" s="54"/>
      <c r="F45" s="55"/>
    </row>
    <row r="46" spans="1:6" ht="20.100000000000001" customHeight="1" x14ac:dyDescent="0.25">
      <c r="A46" s="48"/>
      <c r="B46" s="28"/>
      <c r="C46" s="13" t="s">
        <v>625</v>
      </c>
      <c r="D46" s="45">
        <v>1037</v>
      </c>
      <c r="E46" s="54">
        <f>SUM(E34,-E40)</f>
        <v>0</v>
      </c>
      <c r="F46" s="55">
        <f>SUM(F34,-F40)</f>
        <v>0</v>
      </c>
    </row>
    <row r="47" spans="1:6" ht="20.100000000000001" customHeight="1" x14ac:dyDescent="0.25">
      <c r="A47" s="48"/>
      <c r="B47" s="28"/>
      <c r="C47" s="13" t="s">
        <v>626</v>
      </c>
      <c r="D47" s="45">
        <v>1038</v>
      </c>
      <c r="E47" s="54">
        <f>SUM(E40-E34)</f>
        <v>0</v>
      </c>
      <c r="F47" s="55">
        <f>SUM(F40-F34)</f>
        <v>0</v>
      </c>
    </row>
    <row r="48" spans="1:6" ht="34.5" customHeight="1" x14ac:dyDescent="0.25">
      <c r="A48" s="48"/>
      <c r="B48" s="28" t="s">
        <v>627</v>
      </c>
      <c r="C48" s="13" t="s">
        <v>628</v>
      </c>
      <c r="D48" s="45">
        <v>1039</v>
      </c>
      <c r="E48" s="54"/>
      <c r="F48" s="55"/>
    </row>
    <row r="49" spans="1:6" ht="35.25" customHeight="1" x14ac:dyDescent="0.25">
      <c r="A49" s="48"/>
      <c r="B49" s="28" t="s">
        <v>629</v>
      </c>
      <c r="C49" s="13" t="s">
        <v>630</v>
      </c>
      <c r="D49" s="45">
        <v>1040</v>
      </c>
      <c r="E49" s="54"/>
      <c r="F49" s="55">
        <v>2</v>
      </c>
    </row>
    <row r="50" spans="1:6" ht="20.100000000000001" customHeight="1" x14ac:dyDescent="0.25">
      <c r="A50" s="48"/>
      <c r="B50" s="28">
        <v>67</v>
      </c>
      <c r="C50" s="13" t="s">
        <v>631</v>
      </c>
      <c r="D50" s="45">
        <v>1041</v>
      </c>
      <c r="E50" s="54"/>
      <c r="F50" s="55"/>
    </row>
    <row r="51" spans="1:6" ht="20.100000000000001" customHeight="1" x14ac:dyDescent="0.25">
      <c r="A51" s="48"/>
      <c r="B51" s="28">
        <v>57</v>
      </c>
      <c r="C51" s="13" t="s">
        <v>632</v>
      </c>
      <c r="D51" s="45">
        <v>1042</v>
      </c>
      <c r="E51" s="54">
        <v>1200</v>
      </c>
      <c r="F51" s="55">
        <v>121</v>
      </c>
    </row>
    <row r="52" spans="1:6" ht="20.100000000000001" customHeight="1" x14ac:dyDescent="0.25">
      <c r="A52" s="48"/>
      <c r="B52" s="675"/>
      <c r="C52" s="15" t="s">
        <v>633</v>
      </c>
      <c r="D52" s="676">
        <v>1043</v>
      </c>
      <c r="E52" s="671">
        <f>SUM(E7,E34,E48,E50)</f>
        <v>1138847</v>
      </c>
      <c r="F52" s="673">
        <f>SUM(F7,F34,F48,F50)</f>
        <v>308661</v>
      </c>
    </row>
    <row r="53" spans="1:6" ht="12" customHeight="1" x14ac:dyDescent="0.25">
      <c r="A53" s="48"/>
      <c r="B53" s="675"/>
      <c r="C53" s="16" t="s">
        <v>634</v>
      </c>
      <c r="D53" s="676"/>
      <c r="E53" s="672"/>
      <c r="F53" s="674"/>
    </row>
    <row r="54" spans="1:6" ht="20.100000000000001" customHeight="1" x14ac:dyDescent="0.25">
      <c r="A54" s="48"/>
      <c r="B54" s="675"/>
      <c r="C54" s="15" t="s">
        <v>635</v>
      </c>
      <c r="D54" s="676">
        <v>1044</v>
      </c>
      <c r="E54" s="671">
        <f>SUM(E20,E40,E49,E51)</f>
        <v>1137747</v>
      </c>
      <c r="F54" s="673">
        <f>SUM(F20,F40,F49,F51)</f>
        <v>323657</v>
      </c>
    </row>
    <row r="55" spans="1:6" ht="13.5" customHeight="1" x14ac:dyDescent="0.25">
      <c r="A55" s="48"/>
      <c r="B55" s="675"/>
      <c r="C55" s="16" t="s">
        <v>636</v>
      </c>
      <c r="D55" s="676"/>
      <c r="E55" s="672"/>
      <c r="F55" s="674"/>
    </row>
    <row r="56" spans="1:6" ht="20.100000000000001" customHeight="1" x14ac:dyDescent="0.25">
      <c r="A56" s="48"/>
      <c r="B56" s="28"/>
      <c r="C56" s="13" t="s">
        <v>637</v>
      </c>
      <c r="D56" s="45">
        <v>1045</v>
      </c>
      <c r="E56" s="54">
        <f>SUM(E52-E54)</f>
        <v>1100</v>
      </c>
      <c r="F56" s="55"/>
    </row>
    <row r="57" spans="1:6" ht="20.100000000000001" customHeight="1" x14ac:dyDescent="0.25">
      <c r="A57" s="48"/>
      <c r="B57" s="28"/>
      <c r="C57" s="13" t="s">
        <v>638</v>
      </c>
      <c r="D57" s="45">
        <v>1046</v>
      </c>
      <c r="E57" s="54"/>
      <c r="F57" s="55">
        <v>14996</v>
      </c>
    </row>
    <row r="58" spans="1:6" ht="41.25" customHeight="1" x14ac:dyDescent="0.25">
      <c r="A58" s="48"/>
      <c r="B58" s="28" t="s">
        <v>135</v>
      </c>
      <c r="C58" s="13" t="s">
        <v>639</v>
      </c>
      <c r="D58" s="45">
        <v>1047</v>
      </c>
      <c r="E58" s="54"/>
      <c r="F58" s="55">
        <v>2712</v>
      </c>
    </row>
    <row r="59" spans="1:6" ht="45" customHeight="1" x14ac:dyDescent="0.25">
      <c r="A59" s="48"/>
      <c r="B59" s="28" t="s">
        <v>640</v>
      </c>
      <c r="C59" s="13" t="s">
        <v>641</v>
      </c>
      <c r="D59" s="45">
        <v>1048</v>
      </c>
      <c r="E59" s="54"/>
      <c r="F59" s="55"/>
    </row>
    <row r="60" spans="1:6" ht="20.100000000000001" customHeight="1" x14ac:dyDescent="0.25">
      <c r="A60" s="48"/>
      <c r="B60" s="675"/>
      <c r="C60" s="15" t="s">
        <v>642</v>
      </c>
      <c r="D60" s="676">
        <v>1049</v>
      </c>
      <c r="E60" s="671">
        <f>SUM(E56,-E57,E58,-E59)</f>
        <v>1100</v>
      </c>
      <c r="F60" s="673"/>
    </row>
    <row r="61" spans="1:6" ht="12.75" customHeight="1" x14ac:dyDescent="0.25">
      <c r="A61" s="48"/>
      <c r="B61" s="675"/>
      <c r="C61" s="16" t="s">
        <v>643</v>
      </c>
      <c r="D61" s="676"/>
      <c r="E61" s="672"/>
      <c r="F61" s="674"/>
    </row>
    <row r="62" spans="1:6" ht="20.100000000000001" customHeight="1" x14ac:dyDescent="0.25">
      <c r="A62" s="48"/>
      <c r="B62" s="675"/>
      <c r="C62" s="15" t="s">
        <v>644</v>
      </c>
      <c r="D62" s="676">
        <v>1050</v>
      </c>
      <c r="E62" s="671"/>
      <c r="F62" s="673">
        <v>12284</v>
      </c>
    </row>
    <row r="63" spans="1:6" ht="14.25" customHeight="1" x14ac:dyDescent="0.25">
      <c r="A63" s="48"/>
      <c r="B63" s="675"/>
      <c r="C63" s="16" t="s">
        <v>645</v>
      </c>
      <c r="D63" s="676"/>
      <c r="E63" s="672"/>
      <c r="F63" s="674"/>
    </row>
    <row r="64" spans="1:6" ht="20.100000000000001" customHeight="1" x14ac:dyDescent="0.25">
      <c r="A64" s="48"/>
      <c r="B64" s="28"/>
      <c r="C64" s="13" t="s">
        <v>646</v>
      </c>
      <c r="D64" s="45"/>
      <c r="E64" s="54"/>
      <c r="F64" s="55"/>
    </row>
    <row r="65" spans="1:6" ht="20.100000000000001" customHeight="1" x14ac:dyDescent="0.25">
      <c r="A65" s="48"/>
      <c r="B65" s="28">
        <v>721</v>
      </c>
      <c r="C65" s="19" t="s">
        <v>647</v>
      </c>
      <c r="D65" s="45">
        <v>1051</v>
      </c>
      <c r="E65" s="54"/>
      <c r="F65" s="55"/>
    </row>
    <row r="66" spans="1:6" ht="20.100000000000001" customHeight="1" x14ac:dyDescent="0.25">
      <c r="A66" s="48"/>
      <c r="B66" s="28" t="s">
        <v>662</v>
      </c>
      <c r="C66" s="19" t="s">
        <v>648</v>
      </c>
      <c r="D66" s="45">
        <v>1052</v>
      </c>
      <c r="E66" s="54"/>
      <c r="F66" s="55"/>
    </row>
    <row r="67" spans="1:6" ht="20.100000000000001" customHeight="1" x14ac:dyDescent="0.25">
      <c r="A67" s="48"/>
      <c r="B67" s="28" t="s">
        <v>663</v>
      </c>
      <c r="C67" s="19" t="s">
        <v>649</v>
      </c>
      <c r="D67" s="45">
        <v>1053</v>
      </c>
      <c r="E67" s="54"/>
      <c r="F67" s="55"/>
    </row>
    <row r="68" spans="1:6" ht="20.100000000000001" customHeight="1" x14ac:dyDescent="0.25">
      <c r="A68" s="48"/>
      <c r="B68" s="28">
        <v>723</v>
      </c>
      <c r="C68" s="13" t="s">
        <v>650</v>
      </c>
      <c r="D68" s="45">
        <v>1054</v>
      </c>
      <c r="E68" s="54"/>
      <c r="F68" s="55"/>
    </row>
    <row r="69" spans="1:6" ht="20.100000000000001" customHeight="1" x14ac:dyDescent="0.25">
      <c r="A69" s="48"/>
      <c r="B69" s="675"/>
      <c r="C69" s="15" t="s">
        <v>651</v>
      </c>
      <c r="D69" s="676">
        <v>1055</v>
      </c>
      <c r="E69" s="671">
        <f>SUM(E60,-E62,-E65,-E66,E67,-E68)</f>
        <v>1100</v>
      </c>
      <c r="F69" s="673"/>
    </row>
    <row r="70" spans="1:6" ht="14.25" customHeight="1" x14ac:dyDescent="0.25">
      <c r="A70" s="48"/>
      <c r="B70" s="675"/>
      <c r="C70" s="16" t="s">
        <v>652</v>
      </c>
      <c r="D70" s="676"/>
      <c r="E70" s="672"/>
      <c r="F70" s="674"/>
    </row>
    <row r="71" spans="1:6" ht="20.100000000000001" customHeight="1" x14ac:dyDescent="0.25">
      <c r="A71" s="48"/>
      <c r="B71" s="675"/>
      <c r="C71" s="15" t="s">
        <v>653</v>
      </c>
      <c r="D71" s="676">
        <v>1056</v>
      </c>
      <c r="E71" s="671"/>
      <c r="F71" s="673">
        <v>12284</v>
      </c>
    </row>
    <row r="72" spans="1:6" ht="14.25" customHeight="1" x14ac:dyDescent="0.25">
      <c r="A72" s="48"/>
      <c r="B72" s="675"/>
      <c r="C72" s="16" t="s">
        <v>654</v>
      </c>
      <c r="D72" s="676"/>
      <c r="E72" s="672"/>
      <c r="F72" s="674"/>
    </row>
    <row r="73" spans="1:6" ht="20.100000000000001" customHeight="1" x14ac:dyDescent="0.25">
      <c r="A73" s="48"/>
      <c r="B73" s="28"/>
      <c r="C73" s="19" t="s">
        <v>655</v>
      </c>
      <c r="D73" s="45">
        <v>1057</v>
      </c>
      <c r="E73" s="54"/>
      <c r="F73" s="55"/>
    </row>
    <row r="74" spans="1:6" ht="20.100000000000001" customHeight="1" x14ac:dyDescent="0.25">
      <c r="A74" s="48"/>
      <c r="B74" s="28"/>
      <c r="C74" s="19" t="s">
        <v>790</v>
      </c>
      <c r="D74" s="45">
        <v>1058</v>
      </c>
      <c r="E74" s="54"/>
      <c r="F74" s="55"/>
    </row>
    <row r="75" spans="1:6" ht="20.100000000000001" customHeight="1" x14ac:dyDescent="0.25">
      <c r="A75" s="48"/>
      <c r="B75" s="28"/>
      <c r="C75" s="19" t="s">
        <v>656</v>
      </c>
      <c r="D75" s="45">
        <v>1059</v>
      </c>
      <c r="E75" s="54"/>
      <c r="F75" s="55"/>
    </row>
    <row r="76" spans="1:6" ht="20.100000000000001" customHeight="1" x14ac:dyDescent="0.25">
      <c r="A76" s="48"/>
      <c r="B76" s="28"/>
      <c r="C76" s="19" t="s">
        <v>657</v>
      </c>
      <c r="D76" s="45">
        <v>1060</v>
      </c>
      <c r="E76" s="54"/>
      <c r="F76" s="55"/>
    </row>
    <row r="77" spans="1:6" ht="20.100000000000001" customHeight="1" x14ac:dyDescent="0.25">
      <c r="A77" s="48"/>
      <c r="B77" s="28"/>
      <c r="C77" s="19" t="s">
        <v>658</v>
      </c>
      <c r="D77" s="45"/>
      <c r="E77" s="54"/>
      <c r="F77" s="55"/>
    </row>
    <row r="78" spans="1:6" ht="20.100000000000001" customHeight="1" x14ac:dyDescent="0.25">
      <c r="A78" s="48"/>
      <c r="B78" s="28"/>
      <c r="C78" s="19" t="s">
        <v>659</v>
      </c>
      <c r="D78" s="45">
        <v>1061</v>
      </c>
      <c r="E78" s="54"/>
      <c r="F78" s="55"/>
    </row>
    <row r="79" spans="1:6" ht="20.100000000000001" customHeight="1" thickBot="1" x14ac:dyDescent="0.3">
      <c r="A79" s="48"/>
      <c r="B79" s="27"/>
      <c r="C79" s="46" t="s">
        <v>660</v>
      </c>
      <c r="D79" s="47">
        <v>1062</v>
      </c>
      <c r="E79" s="56"/>
      <c r="F79" s="57"/>
    </row>
    <row r="80" spans="1:6" x14ac:dyDescent="0.25">
      <c r="B80" s="2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L51"/>
  <sheetViews>
    <sheetView showGridLines="0" topLeftCell="A22" zoomScale="115" zoomScaleNormal="115" workbookViewId="0">
      <selection activeCell="D8" sqref="D8"/>
    </sheetView>
  </sheetViews>
  <sheetFormatPr defaultRowHeight="12.75" x14ac:dyDescent="0.2"/>
  <cols>
    <col min="1" max="1" width="3.7109375" style="452" customWidth="1"/>
    <col min="2" max="2" width="9.140625" style="452"/>
    <col min="3" max="13" width="12.7109375" style="452" customWidth="1"/>
    <col min="14" max="16384" width="9.140625" style="452"/>
  </cols>
  <sheetData>
    <row r="1" spans="2:12" x14ac:dyDescent="0.2">
      <c r="J1" s="39" t="s">
        <v>353</v>
      </c>
    </row>
    <row r="2" spans="2:12" ht="21.75" customHeight="1" x14ac:dyDescent="0.2">
      <c r="B2" s="669" t="s">
        <v>247</v>
      </c>
      <c r="C2" s="669"/>
      <c r="D2" s="669"/>
      <c r="E2" s="669"/>
      <c r="F2" s="669"/>
      <c r="G2" s="669"/>
      <c r="H2" s="669"/>
      <c r="I2" s="669"/>
      <c r="J2" s="669"/>
      <c r="K2" s="522"/>
      <c r="L2" s="522"/>
    </row>
    <row r="3" spans="2:12" ht="15" thickBot="1" x14ac:dyDescent="0.25">
      <c r="B3" s="173"/>
      <c r="C3" s="173"/>
      <c r="D3" s="173"/>
      <c r="E3" s="173"/>
      <c r="F3" s="173"/>
      <c r="G3" s="173"/>
      <c r="H3" s="173"/>
      <c r="I3" s="173"/>
      <c r="J3" s="453" t="s">
        <v>46</v>
      </c>
      <c r="K3" s="173"/>
      <c r="L3" s="292"/>
    </row>
    <row r="4" spans="2:12" ht="30" customHeight="1" x14ac:dyDescent="0.2">
      <c r="B4" s="893" t="s">
        <v>241</v>
      </c>
      <c r="C4" s="889" t="s">
        <v>866</v>
      </c>
      <c r="D4" s="736"/>
      <c r="E4" s="736"/>
      <c r="F4" s="737"/>
      <c r="G4" s="736" t="s">
        <v>867</v>
      </c>
      <c r="H4" s="736"/>
      <c r="I4" s="736"/>
      <c r="J4" s="737"/>
      <c r="K4" s="191"/>
      <c r="L4" s="191"/>
    </row>
    <row r="5" spans="2:12" ht="30" customHeight="1" thickBot="1" x14ac:dyDescent="0.25">
      <c r="B5" s="839"/>
      <c r="C5" s="552" t="s">
        <v>245</v>
      </c>
      <c r="D5" s="553" t="s">
        <v>202</v>
      </c>
      <c r="E5" s="553" t="s">
        <v>243</v>
      </c>
      <c r="F5" s="554" t="s">
        <v>244</v>
      </c>
      <c r="G5" s="552" t="s">
        <v>245</v>
      </c>
      <c r="H5" s="553" t="s">
        <v>202</v>
      </c>
      <c r="I5" s="553" t="s">
        <v>243</v>
      </c>
      <c r="J5" s="554" t="s">
        <v>244</v>
      </c>
      <c r="K5" s="526"/>
      <c r="L5" s="526"/>
    </row>
    <row r="6" spans="2:12" ht="15" thickBot="1" x14ac:dyDescent="0.25">
      <c r="B6" s="168"/>
      <c r="C6" s="528" t="s">
        <v>246</v>
      </c>
      <c r="D6" s="529">
        <v>1</v>
      </c>
      <c r="E6" s="529">
        <v>2</v>
      </c>
      <c r="F6" s="530">
        <v>3</v>
      </c>
      <c r="G6" s="528" t="s">
        <v>246</v>
      </c>
      <c r="H6" s="529">
        <v>1</v>
      </c>
      <c r="I6" s="529">
        <v>2</v>
      </c>
      <c r="J6" s="530">
        <v>3</v>
      </c>
      <c r="K6" s="526"/>
      <c r="L6" s="526"/>
    </row>
    <row r="7" spans="2:12" ht="14.25" x14ac:dyDescent="0.2">
      <c r="B7" s="531" t="s">
        <v>96</v>
      </c>
      <c r="C7" s="340">
        <f>D7+(E7*F7)</f>
        <v>0</v>
      </c>
      <c r="D7" s="86"/>
      <c r="E7" s="80"/>
      <c r="F7" s="90"/>
      <c r="G7" s="340">
        <f>H7+(I7*J7)</f>
        <v>0</v>
      </c>
      <c r="H7" s="86"/>
      <c r="I7" s="80"/>
      <c r="J7" s="90"/>
      <c r="K7" s="173"/>
      <c r="L7" s="173"/>
    </row>
    <row r="8" spans="2:12" ht="14.25" x14ac:dyDescent="0.2">
      <c r="B8" s="533" t="s">
        <v>97</v>
      </c>
      <c r="C8" s="340">
        <f t="shared" ref="C8:C18" si="0">D8+(E8*F8)</f>
        <v>0</v>
      </c>
      <c r="D8" s="73"/>
      <c r="E8" s="75"/>
      <c r="F8" s="76"/>
      <c r="G8" s="342">
        <f t="shared" ref="G8:G18" si="1">H8+(I8*J8)</f>
        <v>0</v>
      </c>
      <c r="H8" s="73"/>
      <c r="I8" s="75"/>
      <c r="J8" s="76"/>
      <c r="K8" s="173"/>
      <c r="L8" s="173"/>
    </row>
    <row r="9" spans="2:12" ht="14.25" x14ac:dyDescent="0.2">
      <c r="B9" s="533" t="s">
        <v>98</v>
      </c>
      <c r="C9" s="340">
        <f t="shared" si="0"/>
        <v>0</v>
      </c>
      <c r="D9" s="73"/>
      <c r="E9" s="75"/>
      <c r="F9" s="76"/>
      <c r="G9" s="342">
        <f t="shared" si="1"/>
        <v>0</v>
      </c>
      <c r="H9" s="73"/>
      <c r="I9" s="75"/>
      <c r="J9" s="76"/>
      <c r="K9" s="173"/>
      <c r="L9" s="173"/>
    </row>
    <row r="10" spans="2:12" ht="14.25" x14ac:dyDescent="0.2">
      <c r="B10" s="533" t="s">
        <v>99</v>
      </c>
      <c r="C10" s="340">
        <f t="shared" si="0"/>
        <v>0</v>
      </c>
      <c r="D10" s="73"/>
      <c r="E10" s="75"/>
      <c r="F10" s="76"/>
      <c r="G10" s="342">
        <f t="shared" si="1"/>
        <v>0</v>
      </c>
      <c r="H10" s="73"/>
      <c r="I10" s="75"/>
      <c r="J10" s="76"/>
      <c r="K10" s="173"/>
      <c r="L10" s="173"/>
    </row>
    <row r="11" spans="2:12" ht="14.25" x14ac:dyDescent="0.2">
      <c r="B11" s="533" t="s">
        <v>100</v>
      </c>
      <c r="C11" s="340">
        <f t="shared" si="0"/>
        <v>0</v>
      </c>
      <c r="D11" s="73"/>
      <c r="E11" s="75"/>
      <c r="F11" s="76"/>
      <c r="G11" s="342">
        <f t="shared" si="1"/>
        <v>0</v>
      </c>
      <c r="H11" s="73"/>
      <c r="I11" s="75"/>
      <c r="J11" s="76"/>
      <c r="K11" s="173"/>
      <c r="L11" s="173"/>
    </row>
    <row r="12" spans="2:12" ht="14.25" x14ac:dyDescent="0.2">
      <c r="B12" s="533" t="s">
        <v>101</v>
      </c>
      <c r="C12" s="340">
        <f t="shared" si="0"/>
        <v>0</v>
      </c>
      <c r="D12" s="73"/>
      <c r="E12" s="75"/>
      <c r="F12" s="76"/>
      <c r="G12" s="342">
        <f t="shared" si="1"/>
        <v>0</v>
      </c>
      <c r="H12" s="73"/>
      <c r="I12" s="75"/>
      <c r="J12" s="76"/>
      <c r="K12" s="173"/>
      <c r="L12" s="173"/>
    </row>
    <row r="13" spans="2:12" ht="14.25" x14ac:dyDescent="0.2">
      <c r="B13" s="533" t="s">
        <v>102</v>
      </c>
      <c r="C13" s="340">
        <f t="shared" si="0"/>
        <v>0</v>
      </c>
      <c r="D13" s="73"/>
      <c r="E13" s="75"/>
      <c r="F13" s="76"/>
      <c r="G13" s="342">
        <f t="shared" si="1"/>
        <v>0</v>
      </c>
      <c r="H13" s="73"/>
      <c r="I13" s="75"/>
      <c r="J13" s="76"/>
      <c r="K13" s="173"/>
      <c r="L13" s="173"/>
    </row>
    <row r="14" spans="2:12" ht="14.25" x14ac:dyDescent="0.2">
      <c r="B14" s="533" t="s">
        <v>103</v>
      </c>
      <c r="C14" s="340">
        <f t="shared" si="0"/>
        <v>0</v>
      </c>
      <c r="D14" s="73"/>
      <c r="E14" s="75"/>
      <c r="F14" s="76"/>
      <c r="G14" s="342">
        <f t="shared" si="1"/>
        <v>0</v>
      </c>
      <c r="H14" s="73"/>
      <c r="I14" s="75"/>
      <c r="J14" s="76"/>
      <c r="K14" s="173"/>
      <c r="L14" s="173"/>
    </row>
    <row r="15" spans="2:12" ht="14.25" x14ac:dyDescent="0.2">
      <c r="B15" s="533" t="s">
        <v>104</v>
      </c>
      <c r="C15" s="340">
        <f t="shared" si="0"/>
        <v>0</v>
      </c>
      <c r="D15" s="73"/>
      <c r="E15" s="75"/>
      <c r="F15" s="76"/>
      <c r="G15" s="342">
        <f t="shared" si="1"/>
        <v>0</v>
      </c>
      <c r="H15" s="73"/>
      <c r="I15" s="75"/>
      <c r="J15" s="76"/>
      <c r="K15" s="173"/>
      <c r="L15" s="173"/>
    </row>
    <row r="16" spans="2:12" ht="14.25" x14ac:dyDescent="0.2">
      <c r="B16" s="533" t="s">
        <v>105</v>
      </c>
      <c r="C16" s="340">
        <f t="shared" si="0"/>
        <v>0</v>
      </c>
      <c r="D16" s="73"/>
      <c r="E16" s="75"/>
      <c r="F16" s="76"/>
      <c r="G16" s="342">
        <f t="shared" si="1"/>
        <v>0</v>
      </c>
      <c r="H16" s="73"/>
      <c r="I16" s="75"/>
      <c r="J16" s="76"/>
      <c r="K16" s="173"/>
      <c r="L16" s="173"/>
    </row>
    <row r="17" spans="2:12" ht="14.25" x14ac:dyDescent="0.2">
      <c r="B17" s="533" t="s">
        <v>106</v>
      </c>
      <c r="C17" s="340">
        <f t="shared" si="0"/>
        <v>0</v>
      </c>
      <c r="D17" s="73"/>
      <c r="E17" s="75"/>
      <c r="F17" s="76"/>
      <c r="G17" s="342">
        <f t="shared" si="1"/>
        <v>0</v>
      </c>
      <c r="H17" s="73"/>
      <c r="I17" s="75"/>
      <c r="J17" s="76"/>
      <c r="K17" s="173"/>
      <c r="L17" s="173"/>
    </row>
    <row r="18" spans="2:12" ht="15" thickBot="1" x14ac:dyDescent="0.25">
      <c r="B18" s="534" t="s">
        <v>107</v>
      </c>
      <c r="C18" s="340">
        <f t="shared" si="0"/>
        <v>0</v>
      </c>
      <c r="D18" s="535"/>
      <c r="E18" s="77"/>
      <c r="F18" s="78"/>
      <c r="G18" s="344">
        <f t="shared" si="1"/>
        <v>0</v>
      </c>
      <c r="H18" s="535"/>
      <c r="I18" s="77"/>
      <c r="J18" s="78"/>
      <c r="K18" s="173"/>
      <c r="L18" s="173"/>
    </row>
    <row r="19" spans="2:12" ht="15" thickBot="1" x14ac:dyDescent="0.25">
      <c r="B19" s="536" t="s">
        <v>21</v>
      </c>
      <c r="C19" s="537">
        <f>SUM(C7:C18)</f>
        <v>0</v>
      </c>
      <c r="D19" s="538"/>
      <c r="E19" s="538"/>
      <c r="F19" s="539"/>
      <c r="G19" s="537">
        <f>SUM(G7:G18)</f>
        <v>0</v>
      </c>
      <c r="H19" s="538"/>
      <c r="I19" s="538"/>
      <c r="J19" s="539"/>
      <c r="K19" s="173"/>
      <c r="L19" s="173"/>
    </row>
    <row r="20" spans="2:12" ht="15" thickBot="1" x14ac:dyDescent="0.25">
      <c r="B20" s="540" t="s">
        <v>108</v>
      </c>
      <c r="C20" s="555"/>
      <c r="D20" s="556"/>
      <c r="E20" s="556"/>
      <c r="F20" s="557"/>
      <c r="G20" s="555"/>
      <c r="H20" s="556"/>
      <c r="I20" s="556"/>
      <c r="J20" s="557"/>
      <c r="K20" s="173"/>
      <c r="L20" s="173"/>
    </row>
    <row r="24" spans="2:12" ht="20.25" customHeight="1" x14ac:dyDescent="0.2">
      <c r="B24" s="669" t="s">
        <v>248</v>
      </c>
      <c r="C24" s="669"/>
      <c r="D24" s="669"/>
      <c r="E24" s="669"/>
      <c r="F24" s="669"/>
      <c r="G24" s="669"/>
      <c r="H24" s="669"/>
      <c r="I24" s="669"/>
      <c r="J24" s="669"/>
      <c r="K24" s="541"/>
      <c r="L24" s="541"/>
    </row>
    <row r="25" spans="2:12" ht="15" thickBot="1" x14ac:dyDescent="0.25">
      <c r="B25" s="542"/>
      <c r="C25" s="542"/>
      <c r="D25" s="542"/>
      <c r="E25" s="542"/>
      <c r="F25" s="542"/>
      <c r="G25" s="542"/>
      <c r="H25" s="173"/>
      <c r="I25" s="173"/>
      <c r="J25" s="453" t="s">
        <v>46</v>
      </c>
      <c r="K25" s="173"/>
      <c r="L25" s="292"/>
    </row>
    <row r="26" spans="2:12" ht="30" customHeight="1" x14ac:dyDescent="0.2">
      <c r="B26" s="830" t="s">
        <v>241</v>
      </c>
      <c r="C26" s="735" t="s">
        <v>868</v>
      </c>
      <c r="D26" s="736"/>
      <c r="E26" s="736"/>
      <c r="F26" s="737"/>
      <c r="G26" s="889" t="s">
        <v>869</v>
      </c>
      <c r="H26" s="736"/>
      <c r="I26" s="736"/>
      <c r="J26" s="737"/>
    </row>
    <row r="27" spans="2:12" ht="30" customHeight="1" thickBot="1" x14ac:dyDescent="0.25">
      <c r="B27" s="892"/>
      <c r="C27" s="553" t="s">
        <v>245</v>
      </c>
      <c r="D27" s="553" t="s">
        <v>202</v>
      </c>
      <c r="E27" s="553" t="s">
        <v>243</v>
      </c>
      <c r="F27" s="554" t="s">
        <v>244</v>
      </c>
      <c r="G27" s="552" t="s">
        <v>245</v>
      </c>
      <c r="H27" s="553" t="s">
        <v>202</v>
      </c>
      <c r="I27" s="553" t="s">
        <v>243</v>
      </c>
      <c r="J27" s="554" t="s">
        <v>244</v>
      </c>
    </row>
    <row r="28" spans="2:12" ht="15" thickBot="1" x14ac:dyDescent="0.25">
      <c r="B28" s="558"/>
      <c r="C28" s="529" t="s">
        <v>246</v>
      </c>
      <c r="D28" s="529">
        <v>1</v>
      </c>
      <c r="E28" s="529">
        <v>2</v>
      </c>
      <c r="F28" s="530">
        <v>3</v>
      </c>
      <c r="G28" s="528" t="s">
        <v>246</v>
      </c>
      <c r="H28" s="529">
        <v>1</v>
      </c>
      <c r="I28" s="529">
        <v>2</v>
      </c>
      <c r="J28" s="530">
        <v>3</v>
      </c>
    </row>
    <row r="29" spans="2:12" ht="14.25" x14ac:dyDescent="0.2">
      <c r="B29" s="544" t="s">
        <v>96</v>
      </c>
      <c r="C29" s="86">
        <f>D29+(E29*F29)</f>
        <v>0</v>
      </c>
      <c r="D29" s="86"/>
      <c r="E29" s="80"/>
      <c r="F29" s="90"/>
      <c r="G29" s="340">
        <f>H29+(I29*J29)</f>
        <v>0</v>
      </c>
      <c r="H29" s="86"/>
      <c r="I29" s="80"/>
      <c r="J29" s="90"/>
    </row>
    <row r="30" spans="2:12" ht="14.25" x14ac:dyDescent="0.2">
      <c r="B30" s="545" t="s">
        <v>97</v>
      </c>
      <c r="C30" s="73">
        <f t="shared" ref="C30:C40" si="2">D30+(E30*F30)</f>
        <v>0</v>
      </c>
      <c r="D30" s="73"/>
      <c r="E30" s="75"/>
      <c r="F30" s="75"/>
      <c r="G30" s="343">
        <f t="shared" ref="G30:G40" si="3">H30+(I30*J30)</f>
        <v>0</v>
      </c>
      <c r="H30" s="73"/>
      <c r="I30" s="75"/>
      <c r="J30" s="76"/>
    </row>
    <row r="31" spans="2:12" ht="14.25" x14ac:dyDescent="0.2">
      <c r="B31" s="545" t="s">
        <v>98</v>
      </c>
      <c r="C31" s="73">
        <f t="shared" si="2"/>
        <v>0</v>
      </c>
      <c r="D31" s="73"/>
      <c r="E31" s="75"/>
      <c r="F31" s="75"/>
      <c r="G31" s="343">
        <f t="shared" si="3"/>
        <v>0</v>
      </c>
      <c r="H31" s="73"/>
      <c r="I31" s="75"/>
      <c r="J31" s="76"/>
    </row>
    <row r="32" spans="2:12" ht="14.25" x14ac:dyDescent="0.2">
      <c r="B32" s="545" t="s">
        <v>99</v>
      </c>
      <c r="C32" s="73">
        <f t="shared" si="2"/>
        <v>0</v>
      </c>
      <c r="D32" s="73"/>
      <c r="E32" s="75"/>
      <c r="F32" s="75"/>
      <c r="G32" s="343">
        <f t="shared" si="3"/>
        <v>0</v>
      </c>
      <c r="H32" s="73"/>
      <c r="I32" s="75"/>
      <c r="J32" s="76"/>
    </row>
    <row r="33" spans="2:10" ht="14.25" x14ac:dyDescent="0.2">
      <c r="B33" s="545" t="s">
        <v>100</v>
      </c>
      <c r="C33" s="73">
        <f t="shared" si="2"/>
        <v>0</v>
      </c>
      <c r="D33" s="73"/>
      <c r="E33" s="75"/>
      <c r="F33" s="75"/>
      <c r="G33" s="343">
        <f t="shared" si="3"/>
        <v>0</v>
      </c>
      <c r="H33" s="73"/>
      <c r="I33" s="75"/>
      <c r="J33" s="76"/>
    </row>
    <row r="34" spans="2:10" ht="14.25" x14ac:dyDescent="0.2">
      <c r="B34" s="545" t="s">
        <v>101</v>
      </c>
      <c r="C34" s="73">
        <f t="shared" si="2"/>
        <v>0</v>
      </c>
      <c r="D34" s="73"/>
      <c r="E34" s="75"/>
      <c r="F34" s="75"/>
      <c r="G34" s="343">
        <f t="shared" si="3"/>
        <v>0</v>
      </c>
      <c r="H34" s="73"/>
      <c r="I34" s="75"/>
      <c r="J34" s="76"/>
    </row>
    <row r="35" spans="2:10" ht="14.25" x14ac:dyDescent="0.2">
      <c r="B35" s="545" t="s">
        <v>102</v>
      </c>
      <c r="C35" s="73">
        <f t="shared" si="2"/>
        <v>0</v>
      </c>
      <c r="D35" s="73"/>
      <c r="E35" s="75"/>
      <c r="F35" s="75"/>
      <c r="G35" s="343">
        <f t="shared" si="3"/>
        <v>0</v>
      </c>
      <c r="H35" s="73"/>
      <c r="I35" s="75"/>
      <c r="J35" s="76"/>
    </row>
    <row r="36" spans="2:10" ht="14.25" x14ac:dyDescent="0.2">
      <c r="B36" s="545" t="s">
        <v>103</v>
      </c>
      <c r="C36" s="73">
        <f t="shared" si="2"/>
        <v>0</v>
      </c>
      <c r="D36" s="73"/>
      <c r="E36" s="75"/>
      <c r="F36" s="75"/>
      <c r="G36" s="343">
        <f t="shared" si="3"/>
        <v>0</v>
      </c>
      <c r="H36" s="73"/>
      <c r="I36" s="75"/>
      <c r="J36" s="76"/>
    </row>
    <row r="37" spans="2:10" ht="14.25" x14ac:dyDescent="0.2">
      <c r="B37" s="545" t="s">
        <v>104</v>
      </c>
      <c r="C37" s="73">
        <f t="shared" si="2"/>
        <v>0</v>
      </c>
      <c r="D37" s="73"/>
      <c r="E37" s="75"/>
      <c r="F37" s="75"/>
      <c r="G37" s="343">
        <f t="shared" si="3"/>
        <v>0</v>
      </c>
      <c r="H37" s="73"/>
      <c r="I37" s="75"/>
      <c r="J37" s="76"/>
    </row>
    <row r="38" spans="2:10" ht="14.25" x14ac:dyDescent="0.2">
      <c r="B38" s="545" t="s">
        <v>105</v>
      </c>
      <c r="C38" s="73">
        <f t="shared" si="2"/>
        <v>0</v>
      </c>
      <c r="D38" s="73"/>
      <c r="E38" s="75"/>
      <c r="F38" s="75"/>
      <c r="G38" s="343">
        <f t="shared" si="3"/>
        <v>0</v>
      </c>
      <c r="H38" s="73"/>
      <c r="I38" s="75"/>
      <c r="J38" s="76"/>
    </row>
    <row r="39" spans="2:10" ht="14.25" x14ac:dyDescent="0.2">
      <c r="B39" s="545" t="s">
        <v>106</v>
      </c>
      <c r="C39" s="73">
        <f t="shared" si="2"/>
        <v>0</v>
      </c>
      <c r="D39" s="73"/>
      <c r="E39" s="75"/>
      <c r="F39" s="75"/>
      <c r="G39" s="343">
        <f t="shared" si="3"/>
        <v>0</v>
      </c>
      <c r="H39" s="73"/>
      <c r="I39" s="75"/>
      <c r="J39" s="76"/>
    </row>
    <row r="40" spans="2:10" ht="15" thickBot="1" x14ac:dyDescent="0.25">
      <c r="B40" s="546" t="s">
        <v>107</v>
      </c>
      <c r="C40" s="535">
        <f t="shared" si="2"/>
        <v>0</v>
      </c>
      <c r="D40" s="535"/>
      <c r="E40" s="77"/>
      <c r="F40" s="77"/>
      <c r="G40" s="350">
        <f t="shared" si="3"/>
        <v>0</v>
      </c>
      <c r="H40" s="535"/>
      <c r="I40" s="77"/>
      <c r="J40" s="78"/>
    </row>
    <row r="41" spans="2:10" ht="13.5" thickBot="1" x14ac:dyDescent="0.25">
      <c r="B41" s="547" t="s">
        <v>21</v>
      </c>
      <c r="C41" s="538">
        <f>SUM(C29:C40)</f>
        <v>0</v>
      </c>
      <c r="D41" s="538"/>
      <c r="E41" s="538"/>
      <c r="F41" s="538"/>
      <c r="G41" s="548">
        <f>SUM(G29:G40)</f>
        <v>0</v>
      </c>
      <c r="H41" s="538"/>
      <c r="I41" s="538"/>
      <c r="J41" s="539"/>
    </row>
    <row r="42" spans="2:10" ht="13.5" thickBot="1" x14ac:dyDescent="0.25">
      <c r="B42" s="549" t="s">
        <v>108</v>
      </c>
      <c r="C42" s="556"/>
      <c r="D42" s="556"/>
      <c r="E42" s="556"/>
      <c r="F42" s="556"/>
      <c r="G42" s="559"/>
      <c r="H42" s="556"/>
      <c r="I42" s="556"/>
      <c r="J42" s="557"/>
    </row>
    <row r="51" spans="11:11" x14ac:dyDescent="0.2">
      <c r="K51" s="452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3"/>
  <sheetViews>
    <sheetView showGridLines="0" zoomScale="85" zoomScaleNormal="85" workbookViewId="0">
      <selection activeCell="B11" sqref="B11"/>
    </sheetView>
  </sheetViews>
  <sheetFormatPr defaultRowHeight="15" x14ac:dyDescent="0.2"/>
  <cols>
    <col min="1" max="1" width="9.140625" style="373"/>
    <col min="2" max="2" width="29.7109375" style="373" customWidth="1"/>
    <col min="3" max="3" width="30.28515625" style="373" customWidth="1"/>
    <col min="4" max="4" width="16" style="373" customWidth="1"/>
    <col min="5" max="5" width="13" style="373" customWidth="1"/>
    <col min="6" max="6" width="25.28515625" style="373" customWidth="1"/>
    <col min="7" max="7" width="25.140625" style="373" customWidth="1"/>
    <col min="8" max="13" width="13.7109375" style="373" customWidth="1"/>
    <col min="14" max="17" width="25.140625" style="373" customWidth="1"/>
    <col min="18" max="21" width="12.28515625" style="373" customWidth="1"/>
    <col min="22" max="16384" width="9.140625" style="373"/>
  </cols>
  <sheetData>
    <row r="2" spans="1:21" ht="15.75" x14ac:dyDescent="0.25">
      <c r="Q2" s="374" t="s">
        <v>354</v>
      </c>
      <c r="U2" s="375"/>
    </row>
    <row r="4" spans="1:21" ht="15.75" x14ac:dyDescent="0.25">
      <c r="A4" s="376"/>
    </row>
    <row r="5" spans="1:21" ht="15.75" x14ac:dyDescent="0.25">
      <c r="A5" s="376"/>
      <c r="B5" s="899" t="s">
        <v>259</v>
      </c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376"/>
      <c r="S5" s="376"/>
      <c r="T5" s="376"/>
      <c r="U5" s="376"/>
    </row>
    <row r="6" spans="1:21" ht="16.5" thickBot="1" x14ac:dyDescent="0.3">
      <c r="D6" s="376"/>
      <c r="E6" s="376"/>
      <c r="F6" s="376"/>
      <c r="G6" s="376"/>
      <c r="Q6" s="375"/>
    </row>
    <row r="7" spans="1:21" ht="35.25" customHeight="1" x14ac:dyDescent="0.2">
      <c r="B7" s="904" t="s">
        <v>260</v>
      </c>
      <c r="C7" s="906" t="s">
        <v>261</v>
      </c>
      <c r="D7" s="897" t="s">
        <v>262</v>
      </c>
      <c r="E7" s="377" t="s">
        <v>263</v>
      </c>
      <c r="F7" s="897" t="s">
        <v>805</v>
      </c>
      <c r="G7" s="897" t="s">
        <v>870</v>
      </c>
      <c r="H7" s="897" t="s">
        <v>264</v>
      </c>
      <c r="I7" s="897" t="s">
        <v>265</v>
      </c>
      <c r="J7" s="897" t="s">
        <v>266</v>
      </c>
      <c r="K7" s="897" t="s">
        <v>267</v>
      </c>
      <c r="L7" s="897" t="s">
        <v>268</v>
      </c>
      <c r="M7" s="897" t="s">
        <v>269</v>
      </c>
      <c r="N7" s="908" t="s">
        <v>871</v>
      </c>
      <c r="O7" s="909"/>
      <c r="P7" s="900" t="s">
        <v>872</v>
      </c>
      <c r="Q7" s="902" t="s">
        <v>873</v>
      </c>
    </row>
    <row r="8" spans="1:21" ht="42.75" customHeight="1" thickBot="1" x14ac:dyDescent="0.25">
      <c r="B8" s="905"/>
      <c r="C8" s="907"/>
      <c r="D8" s="898"/>
      <c r="E8" s="378" t="s">
        <v>270</v>
      </c>
      <c r="F8" s="898"/>
      <c r="G8" s="898"/>
      <c r="H8" s="898"/>
      <c r="I8" s="898"/>
      <c r="J8" s="898"/>
      <c r="K8" s="898"/>
      <c r="L8" s="898"/>
      <c r="M8" s="898"/>
      <c r="N8" s="379" t="s">
        <v>271</v>
      </c>
      <c r="O8" s="379" t="s">
        <v>272</v>
      </c>
      <c r="P8" s="901"/>
      <c r="Q8" s="903"/>
    </row>
    <row r="9" spans="1:21" ht="20.100000000000001" customHeight="1" x14ac:dyDescent="0.25">
      <c r="B9" s="380" t="s">
        <v>273</v>
      </c>
      <c r="C9" s="381"/>
      <c r="D9" s="382"/>
      <c r="E9" s="382"/>
      <c r="F9" s="361"/>
      <c r="G9" s="361"/>
      <c r="H9" s="383"/>
      <c r="I9" s="383"/>
      <c r="J9" s="383"/>
      <c r="K9" s="383"/>
      <c r="L9" s="383"/>
      <c r="M9" s="383"/>
      <c r="N9" s="361"/>
      <c r="O9" s="384"/>
      <c r="P9" s="361"/>
      <c r="Q9" s="362"/>
    </row>
    <row r="10" spans="1:21" ht="20.100000000000001" customHeight="1" x14ac:dyDescent="0.2">
      <c r="B10" s="385" t="s">
        <v>1040</v>
      </c>
      <c r="C10" s="386" t="s">
        <v>1041</v>
      </c>
      <c r="D10" s="387" t="s">
        <v>1042</v>
      </c>
      <c r="E10" s="387" t="s">
        <v>891</v>
      </c>
      <c r="F10" s="363"/>
      <c r="G10" s="388">
        <v>30000000</v>
      </c>
      <c r="H10" s="387">
        <v>2024</v>
      </c>
      <c r="I10" s="387" t="s">
        <v>1043</v>
      </c>
      <c r="J10" s="387"/>
      <c r="K10" s="387"/>
      <c r="L10" s="659">
        <v>0.03</v>
      </c>
      <c r="M10" s="387"/>
      <c r="N10" s="369">
        <v>30000000</v>
      </c>
      <c r="O10" s="388">
        <v>900000</v>
      </c>
      <c r="P10" s="363"/>
      <c r="Q10" s="364">
        <v>0</v>
      </c>
    </row>
    <row r="11" spans="1:21" ht="20.100000000000001" customHeight="1" x14ac:dyDescent="0.2">
      <c r="B11" s="385" t="s">
        <v>274</v>
      </c>
      <c r="C11" s="386"/>
      <c r="D11" s="387"/>
      <c r="E11" s="387"/>
      <c r="F11" s="363"/>
      <c r="G11" s="388"/>
      <c r="H11" s="387"/>
      <c r="I11" s="387"/>
      <c r="J11" s="387"/>
      <c r="K11" s="387"/>
      <c r="L11" s="387"/>
      <c r="M11" s="387"/>
      <c r="N11" s="369"/>
      <c r="O11" s="388"/>
      <c r="P11" s="363"/>
      <c r="Q11" s="364"/>
    </row>
    <row r="12" spans="1:21" ht="20.100000000000001" customHeight="1" x14ac:dyDescent="0.2">
      <c r="B12" s="385" t="s">
        <v>274</v>
      </c>
      <c r="C12" s="386"/>
      <c r="D12" s="387"/>
      <c r="E12" s="387"/>
      <c r="F12" s="363"/>
      <c r="G12" s="388"/>
      <c r="H12" s="387"/>
      <c r="I12" s="387"/>
      <c r="J12" s="387"/>
      <c r="K12" s="387"/>
      <c r="L12" s="387"/>
      <c r="M12" s="387"/>
      <c r="N12" s="369"/>
      <c r="O12" s="388"/>
      <c r="P12" s="363"/>
      <c r="Q12" s="364"/>
    </row>
    <row r="13" spans="1:21" ht="20.100000000000001" customHeight="1" x14ac:dyDescent="0.2">
      <c r="B13" s="385" t="s">
        <v>274</v>
      </c>
      <c r="C13" s="386"/>
      <c r="D13" s="387"/>
      <c r="E13" s="387"/>
      <c r="F13" s="363"/>
      <c r="G13" s="388"/>
      <c r="H13" s="387"/>
      <c r="I13" s="387"/>
      <c r="J13" s="387"/>
      <c r="K13" s="387"/>
      <c r="L13" s="387"/>
      <c r="M13" s="387"/>
      <c r="N13" s="369"/>
      <c r="O13" s="388"/>
      <c r="P13" s="363"/>
      <c r="Q13" s="364"/>
    </row>
    <row r="14" spans="1:21" ht="20.100000000000001" customHeight="1" x14ac:dyDescent="0.2">
      <c r="B14" s="385" t="s">
        <v>274</v>
      </c>
      <c r="C14" s="386"/>
      <c r="D14" s="387"/>
      <c r="E14" s="387"/>
      <c r="F14" s="363"/>
      <c r="G14" s="388"/>
      <c r="H14" s="387"/>
      <c r="I14" s="387"/>
      <c r="J14" s="387"/>
      <c r="K14" s="387"/>
      <c r="L14" s="387"/>
      <c r="M14" s="387"/>
      <c r="N14" s="369"/>
      <c r="O14" s="388"/>
      <c r="P14" s="363"/>
      <c r="Q14" s="364"/>
    </row>
    <row r="15" spans="1:21" ht="20.100000000000001" customHeight="1" x14ac:dyDescent="0.25">
      <c r="B15" s="389" t="s">
        <v>275</v>
      </c>
      <c r="C15" s="386"/>
      <c r="D15" s="387"/>
      <c r="E15" s="387"/>
      <c r="F15" s="363"/>
      <c r="G15" s="388"/>
      <c r="H15" s="387"/>
      <c r="I15" s="387"/>
      <c r="J15" s="387"/>
      <c r="K15" s="387"/>
      <c r="L15" s="387"/>
      <c r="M15" s="387"/>
      <c r="N15" s="369"/>
      <c r="O15" s="388"/>
      <c r="P15" s="363"/>
      <c r="Q15" s="364"/>
    </row>
    <row r="16" spans="1:21" ht="20.100000000000001" customHeight="1" x14ac:dyDescent="0.2">
      <c r="B16" s="385" t="s">
        <v>274</v>
      </c>
      <c r="C16" s="386"/>
      <c r="D16" s="387"/>
      <c r="E16" s="387"/>
      <c r="F16" s="363"/>
      <c r="G16" s="388"/>
      <c r="H16" s="387"/>
      <c r="I16" s="387"/>
      <c r="J16" s="387"/>
      <c r="K16" s="387"/>
      <c r="L16" s="387"/>
      <c r="M16" s="387"/>
      <c r="N16" s="369"/>
      <c r="O16" s="388"/>
      <c r="P16" s="363"/>
      <c r="Q16" s="364"/>
    </row>
    <row r="17" spans="2:17" ht="20.100000000000001" customHeight="1" x14ac:dyDescent="0.2">
      <c r="B17" s="385" t="s">
        <v>274</v>
      </c>
      <c r="C17" s="386"/>
      <c r="D17" s="387"/>
      <c r="E17" s="387"/>
      <c r="F17" s="363"/>
      <c r="G17" s="388"/>
      <c r="H17" s="387"/>
      <c r="I17" s="387"/>
      <c r="J17" s="387"/>
      <c r="K17" s="387"/>
      <c r="L17" s="387"/>
      <c r="M17" s="387"/>
      <c r="N17" s="369"/>
      <c r="O17" s="388"/>
      <c r="P17" s="363"/>
      <c r="Q17" s="364"/>
    </row>
    <row r="18" spans="2:17" ht="20.100000000000001" customHeight="1" x14ac:dyDescent="0.2">
      <c r="B18" s="385" t="s">
        <v>274</v>
      </c>
      <c r="C18" s="386"/>
      <c r="D18" s="387"/>
      <c r="E18" s="387"/>
      <c r="F18" s="363"/>
      <c r="G18" s="388"/>
      <c r="H18" s="387"/>
      <c r="I18" s="387"/>
      <c r="J18" s="387"/>
      <c r="K18" s="387"/>
      <c r="L18" s="387"/>
      <c r="M18" s="387"/>
      <c r="N18" s="369"/>
      <c r="O18" s="388"/>
      <c r="P18" s="363"/>
      <c r="Q18" s="364"/>
    </row>
    <row r="19" spans="2:17" ht="20.100000000000001" customHeight="1" x14ac:dyDescent="0.2">
      <c r="B19" s="385" t="s">
        <v>274</v>
      </c>
      <c r="C19" s="386"/>
      <c r="D19" s="387"/>
      <c r="E19" s="387"/>
      <c r="F19" s="363"/>
      <c r="G19" s="388"/>
      <c r="H19" s="387"/>
      <c r="I19" s="387"/>
      <c r="J19" s="387"/>
      <c r="K19" s="387"/>
      <c r="L19" s="387"/>
      <c r="M19" s="387"/>
      <c r="N19" s="369"/>
      <c r="O19" s="388"/>
      <c r="P19" s="363"/>
      <c r="Q19" s="364"/>
    </row>
    <row r="20" spans="2:17" ht="20.100000000000001" customHeight="1" thickBot="1" x14ac:dyDescent="0.25">
      <c r="B20" s="390" t="s">
        <v>274</v>
      </c>
      <c r="C20" s="391"/>
      <c r="D20" s="392"/>
      <c r="E20" s="392"/>
      <c r="F20" s="393"/>
      <c r="G20" s="394"/>
      <c r="H20" s="392"/>
      <c r="I20" s="392"/>
      <c r="J20" s="392"/>
      <c r="K20" s="392"/>
      <c r="L20" s="392"/>
      <c r="M20" s="392"/>
      <c r="N20" s="372"/>
      <c r="O20" s="365"/>
      <c r="P20" s="365"/>
      <c r="Q20" s="366"/>
    </row>
    <row r="21" spans="2:17" ht="20.100000000000001" customHeight="1" thickBot="1" x14ac:dyDescent="0.3">
      <c r="B21" s="894" t="s">
        <v>276</v>
      </c>
      <c r="C21" s="895"/>
      <c r="D21" s="895"/>
      <c r="E21" s="896"/>
      <c r="F21" s="395"/>
      <c r="G21" s="396">
        <f>SUM(G10:G20)</f>
        <v>30000000</v>
      </c>
      <c r="H21" s="397"/>
      <c r="I21" s="398"/>
      <c r="J21" s="398"/>
      <c r="K21" s="398"/>
      <c r="L21" s="398"/>
      <c r="M21" s="399"/>
      <c r="N21" s="400">
        <f>SUM(N10:N20)</f>
        <v>30000000</v>
      </c>
      <c r="O21" s="400">
        <f>SUM(O10:O20)</f>
        <v>900000</v>
      </c>
      <c r="P21" s="395"/>
      <c r="Q21" s="396">
        <f>SUM(Q10:Q20)</f>
        <v>0</v>
      </c>
    </row>
    <row r="22" spans="2:17" ht="20.100000000000001" customHeight="1" thickBot="1" x14ac:dyDescent="0.3">
      <c r="B22" s="894" t="s">
        <v>277</v>
      </c>
      <c r="C22" s="895"/>
      <c r="D22" s="895"/>
      <c r="E22" s="896"/>
      <c r="F22" s="401"/>
      <c r="G22" s="402"/>
      <c r="H22" s="79"/>
      <c r="I22" s="79"/>
      <c r="J22" s="79"/>
      <c r="K22" s="79"/>
      <c r="L22" s="79"/>
      <c r="M22" s="79"/>
      <c r="N22" s="79"/>
      <c r="O22" s="403"/>
      <c r="P22" s="404"/>
      <c r="Q22" s="405"/>
    </row>
    <row r="23" spans="2:17" ht="20.100000000000001" customHeight="1" thickBot="1" x14ac:dyDescent="0.3">
      <c r="B23" s="894" t="s">
        <v>278</v>
      </c>
      <c r="C23" s="895"/>
      <c r="D23" s="895"/>
      <c r="E23" s="896"/>
      <c r="F23" s="406"/>
      <c r="G23" s="407"/>
      <c r="H23" s="79"/>
      <c r="I23" s="79"/>
      <c r="J23" s="79"/>
      <c r="K23" s="79"/>
      <c r="L23" s="79"/>
      <c r="M23" s="79"/>
      <c r="N23" s="79"/>
      <c r="O23" s="403"/>
      <c r="P23" s="401"/>
      <c r="Q23" s="402"/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1:E21"/>
    <mergeCell ref="B22:E22"/>
    <mergeCell ref="B23:E23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H83"/>
  <sheetViews>
    <sheetView showGridLines="0" topLeftCell="A10" zoomScaleNormal="100" workbookViewId="0">
      <selection activeCell="H9" sqref="B9:H80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8" ht="15.75" x14ac:dyDescent="0.25">
      <c r="G1" s="42"/>
      <c r="H1" s="42" t="s">
        <v>356</v>
      </c>
    </row>
    <row r="2" spans="2:8" ht="15.75" x14ac:dyDescent="0.25">
      <c r="B2" s="224"/>
      <c r="C2" s="225"/>
      <c r="D2" s="225"/>
      <c r="E2" s="225"/>
      <c r="F2" s="225"/>
      <c r="G2" s="225"/>
    </row>
    <row r="3" spans="2:8" ht="23.25" customHeight="1" x14ac:dyDescent="0.25">
      <c r="B3" s="912" t="s">
        <v>384</v>
      </c>
      <c r="C3" s="912"/>
      <c r="D3" s="912"/>
      <c r="E3" s="912"/>
      <c r="F3" s="912"/>
      <c r="G3" s="912"/>
      <c r="H3" s="912"/>
    </row>
    <row r="4" spans="2:8" ht="15.75" customHeight="1" x14ac:dyDescent="0.2">
      <c r="B4" s="226"/>
      <c r="C4" s="226"/>
      <c r="D4" s="226"/>
      <c r="E4" s="226"/>
      <c r="F4" s="225"/>
      <c r="G4" s="225"/>
    </row>
    <row r="5" spans="2:8" ht="15.75" thickBot="1" x14ac:dyDescent="0.25">
      <c r="B5" s="226"/>
      <c r="C5" s="226"/>
      <c r="D5" s="225"/>
      <c r="E5" s="226"/>
      <c r="F5" s="226"/>
      <c r="H5" s="227" t="s">
        <v>46</v>
      </c>
    </row>
    <row r="6" spans="2:8" ht="32.25" customHeight="1" x14ac:dyDescent="0.2">
      <c r="B6" s="913" t="s">
        <v>2</v>
      </c>
      <c r="C6" s="915" t="s">
        <v>83</v>
      </c>
      <c r="D6" s="824" t="s">
        <v>874</v>
      </c>
      <c r="E6" s="776" t="s">
        <v>835</v>
      </c>
      <c r="F6" s="776" t="s">
        <v>824</v>
      </c>
      <c r="G6" s="776" t="s">
        <v>825</v>
      </c>
      <c r="H6" s="778" t="s">
        <v>830</v>
      </c>
    </row>
    <row r="7" spans="2:8" ht="29.25" customHeight="1" thickBot="1" x14ac:dyDescent="0.25">
      <c r="B7" s="914"/>
      <c r="C7" s="916"/>
      <c r="D7" s="825"/>
      <c r="E7" s="777" t="s">
        <v>378</v>
      </c>
      <c r="F7" s="777" t="s">
        <v>379</v>
      </c>
      <c r="G7" s="777" t="s">
        <v>380</v>
      </c>
      <c r="H7" s="779" t="s">
        <v>381</v>
      </c>
    </row>
    <row r="8" spans="2:8" ht="20.100000000000001" customHeight="1" x14ac:dyDescent="0.2">
      <c r="B8" s="228"/>
      <c r="C8" s="910" t="s">
        <v>34</v>
      </c>
      <c r="D8" s="910"/>
      <c r="E8" s="910"/>
      <c r="F8" s="910"/>
      <c r="G8" s="910"/>
      <c r="H8" s="911"/>
    </row>
    <row r="9" spans="2:8" ht="20.100000000000001" customHeight="1" x14ac:dyDescent="0.2">
      <c r="B9" s="983" t="s">
        <v>84</v>
      </c>
      <c r="C9" s="984" t="s">
        <v>943</v>
      </c>
      <c r="D9" s="608">
        <v>438192.3</v>
      </c>
      <c r="E9" s="985">
        <v>600000</v>
      </c>
      <c r="F9" s="985">
        <v>600000</v>
      </c>
      <c r="G9" s="985">
        <v>600000</v>
      </c>
      <c r="H9" s="986">
        <v>600000</v>
      </c>
    </row>
    <row r="10" spans="2:8" ht="20.100000000000001" customHeight="1" x14ac:dyDescent="0.2">
      <c r="B10" s="983" t="s">
        <v>85</v>
      </c>
      <c r="C10" s="984" t="s">
        <v>944</v>
      </c>
      <c r="D10" s="608">
        <v>61563.38</v>
      </c>
      <c r="E10" s="985">
        <v>170000</v>
      </c>
      <c r="F10" s="985">
        <v>170000</v>
      </c>
      <c r="G10" s="985">
        <v>170000</v>
      </c>
      <c r="H10" s="986">
        <v>170000</v>
      </c>
    </row>
    <row r="11" spans="2:8" ht="20.100000000000001" customHeight="1" x14ac:dyDescent="0.2">
      <c r="B11" s="983" t="s">
        <v>86</v>
      </c>
      <c r="C11" s="984" t="s">
        <v>945</v>
      </c>
      <c r="D11" s="608">
        <v>440099.32</v>
      </c>
      <c r="E11" s="985">
        <v>400000</v>
      </c>
      <c r="F11" s="985">
        <v>400000</v>
      </c>
      <c r="G11" s="985">
        <v>400000</v>
      </c>
      <c r="H11" s="986">
        <v>400000</v>
      </c>
    </row>
    <row r="12" spans="2:8" ht="20.100000000000001" customHeight="1" x14ac:dyDescent="0.2">
      <c r="B12" s="983" t="s">
        <v>87</v>
      </c>
      <c r="C12" s="984" t="s">
        <v>946</v>
      </c>
      <c r="D12" s="608">
        <v>717381.43</v>
      </c>
      <c r="E12" s="985">
        <v>1000000</v>
      </c>
      <c r="F12" s="985">
        <v>1000000</v>
      </c>
      <c r="G12" s="985">
        <v>1000000</v>
      </c>
      <c r="H12" s="986">
        <v>1000000</v>
      </c>
    </row>
    <row r="13" spans="2:8" ht="20.100000000000001" customHeight="1" x14ac:dyDescent="0.2">
      <c r="B13" s="983" t="s">
        <v>88</v>
      </c>
      <c r="C13" s="984" t="s">
        <v>947</v>
      </c>
      <c r="D13" s="608">
        <v>2316479.4</v>
      </c>
      <c r="E13" s="985">
        <v>3000000</v>
      </c>
      <c r="F13" s="985">
        <v>3000000</v>
      </c>
      <c r="G13" s="985">
        <v>3000000</v>
      </c>
      <c r="H13" s="986">
        <v>3000000</v>
      </c>
    </row>
    <row r="14" spans="2:8" ht="25.5" x14ac:dyDescent="0.2">
      <c r="B14" s="983" t="s">
        <v>89</v>
      </c>
      <c r="C14" s="984" t="s">
        <v>948</v>
      </c>
      <c r="D14" s="608">
        <v>90000</v>
      </c>
      <c r="E14" s="985"/>
      <c r="F14" s="985"/>
      <c r="G14" s="985"/>
      <c r="H14" s="986"/>
    </row>
    <row r="15" spans="2:8" ht="20.100000000000001" customHeight="1" x14ac:dyDescent="0.2">
      <c r="B15" s="983" t="s">
        <v>90</v>
      </c>
      <c r="C15" s="984" t="s">
        <v>949</v>
      </c>
      <c r="D15" s="608"/>
      <c r="E15" s="985"/>
      <c r="F15" s="985"/>
      <c r="G15" s="985"/>
      <c r="H15" s="986"/>
    </row>
    <row r="16" spans="2:8" ht="20.100000000000001" customHeight="1" x14ac:dyDescent="0.2">
      <c r="B16" s="983" t="s">
        <v>91</v>
      </c>
      <c r="C16" s="984" t="s">
        <v>66</v>
      </c>
      <c r="D16" s="608">
        <v>119094.09</v>
      </c>
      <c r="E16" s="985">
        <v>150000</v>
      </c>
      <c r="F16" s="985">
        <v>150000</v>
      </c>
      <c r="G16" s="985">
        <v>150000</v>
      </c>
      <c r="H16" s="986">
        <v>150000</v>
      </c>
    </row>
    <row r="17" spans="2:8" ht="20.100000000000001" customHeight="1" x14ac:dyDescent="0.2">
      <c r="B17" s="983" t="s">
        <v>50</v>
      </c>
      <c r="C17" s="984" t="s">
        <v>950</v>
      </c>
      <c r="D17" s="608">
        <v>46880</v>
      </c>
      <c r="E17" s="985">
        <v>50000</v>
      </c>
      <c r="F17" s="985">
        <v>50000</v>
      </c>
      <c r="G17" s="985">
        <v>50000</v>
      </c>
      <c r="H17" s="986">
        <v>50000</v>
      </c>
    </row>
    <row r="18" spans="2:8" ht="20.100000000000001" customHeight="1" x14ac:dyDescent="0.2">
      <c r="B18" s="987" t="s">
        <v>937</v>
      </c>
      <c r="C18" s="984" t="s">
        <v>951</v>
      </c>
      <c r="D18" s="608">
        <v>80000</v>
      </c>
      <c r="E18" s="985">
        <v>80000</v>
      </c>
      <c r="F18" s="985">
        <v>80000</v>
      </c>
      <c r="G18" s="985">
        <v>80000</v>
      </c>
      <c r="H18" s="986">
        <v>80000</v>
      </c>
    </row>
    <row r="19" spans="2:8" ht="20.100000000000001" customHeight="1" x14ac:dyDescent="0.2">
      <c r="B19" s="987" t="s">
        <v>938</v>
      </c>
      <c r="C19" s="984" t="s">
        <v>952</v>
      </c>
      <c r="D19" s="608"/>
      <c r="E19" s="985"/>
      <c r="F19" s="985"/>
      <c r="G19" s="985"/>
      <c r="H19" s="986"/>
    </row>
    <row r="20" spans="2:8" ht="20.100000000000001" customHeight="1" x14ac:dyDescent="0.2">
      <c r="B20" s="987" t="s">
        <v>939</v>
      </c>
      <c r="C20" s="984" t="s">
        <v>953</v>
      </c>
      <c r="D20" s="608"/>
      <c r="E20" s="985">
        <v>300000</v>
      </c>
      <c r="F20" s="985">
        <v>300000</v>
      </c>
      <c r="G20" s="985">
        <v>300000</v>
      </c>
      <c r="H20" s="986">
        <v>300000</v>
      </c>
    </row>
    <row r="21" spans="2:8" ht="20.100000000000001" customHeight="1" x14ac:dyDescent="0.2">
      <c r="B21" s="987" t="s">
        <v>940</v>
      </c>
      <c r="C21" s="988" t="s">
        <v>954</v>
      </c>
      <c r="D21" s="609"/>
      <c r="E21" s="989"/>
      <c r="F21" s="989"/>
      <c r="G21" s="989"/>
      <c r="H21" s="990"/>
    </row>
    <row r="22" spans="2:8" ht="20.100000000000001" customHeight="1" x14ac:dyDescent="0.2">
      <c r="B22" s="987" t="s">
        <v>941</v>
      </c>
      <c r="C22" s="988" t="s">
        <v>955</v>
      </c>
      <c r="D22" s="609">
        <v>698832.96</v>
      </c>
      <c r="E22" s="989">
        <v>50000</v>
      </c>
      <c r="F22" s="989">
        <v>50000</v>
      </c>
      <c r="G22" s="989">
        <v>50000</v>
      </c>
      <c r="H22" s="990">
        <v>50000</v>
      </c>
    </row>
    <row r="23" spans="2:8" ht="20.100000000000001" customHeight="1" thickBot="1" x14ac:dyDescent="0.25">
      <c r="B23" s="987" t="s">
        <v>942</v>
      </c>
      <c r="C23" s="988" t="s">
        <v>956</v>
      </c>
      <c r="D23" s="609">
        <v>302320</v>
      </c>
      <c r="E23" s="989">
        <v>250000</v>
      </c>
      <c r="F23" s="989">
        <v>250000</v>
      </c>
      <c r="G23" s="989">
        <v>250000</v>
      </c>
      <c r="H23" s="990">
        <v>250000</v>
      </c>
    </row>
    <row r="24" spans="2:8" ht="20.100000000000001" customHeight="1" thickBot="1" x14ac:dyDescent="0.25">
      <c r="B24" s="991"/>
      <c r="C24" s="992" t="s">
        <v>281</v>
      </c>
      <c r="D24" s="653">
        <f>SUM(D9:D23)</f>
        <v>5310842.8799999999</v>
      </c>
      <c r="E24" s="993">
        <f>SUM(E9:E23)</f>
        <v>6050000</v>
      </c>
      <c r="F24" s="993">
        <f>SUM(F9:F23)</f>
        <v>6050000</v>
      </c>
      <c r="G24" s="993">
        <f>SUM(G9:G23)</f>
        <v>6050000</v>
      </c>
      <c r="H24" s="994">
        <f>SUM(H9:H23)</f>
        <v>6050000</v>
      </c>
    </row>
    <row r="25" spans="2:8" ht="20.100000000000001" customHeight="1" thickBot="1" x14ac:dyDescent="0.25">
      <c r="B25" s="995"/>
      <c r="C25" s="996" t="s">
        <v>35</v>
      </c>
      <c r="D25" s="996"/>
      <c r="E25" s="996"/>
      <c r="F25" s="996"/>
      <c r="G25" s="996"/>
      <c r="H25" s="997"/>
    </row>
    <row r="26" spans="2:8" ht="20.100000000000001" customHeight="1" x14ac:dyDescent="0.2">
      <c r="B26" s="998" t="s">
        <v>67</v>
      </c>
      <c r="C26" s="999" t="s">
        <v>976</v>
      </c>
      <c r="D26" s="610">
        <v>833554.25</v>
      </c>
      <c r="E26" s="1000">
        <v>925000</v>
      </c>
      <c r="F26" s="1000">
        <v>925000</v>
      </c>
      <c r="G26" s="1000">
        <v>925000</v>
      </c>
      <c r="H26" s="1001">
        <v>925000</v>
      </c>
    </row>
    <row r="27" spans="2:8" ht="20.100000000000001" customHeight="1" x14ac:dyDescent="0.2">
      <c r="B27" s="983" t="s">
        <v>70</v>
      </c>
      <c r="C27" s="1002" t="s">
        <v>977</v>
      </c>
      <c r="D27" s="608">
        <v>252430</v>
      </c>
      <c r="E27" s="985">
        <v>1400000</v>
      </c>
      <c r="F27" s="985">
        <v>1400000</v>
      </c>
      <c r="G27" s="985">
        <v>1400000</v>
      </c>
      <c r="H27" s="986">
        <v>1400000</v>
      </c>
    </row>
    <row r="28" spans="2:8" ht="20.100000000000001" customHeight="1" x14ac:dyDescent="0.2">
      <c r="B28" s="983" t="s">
        <v>71</v>
      </c>
      <c r="C28" s="1002" t="s">
        <v>978</v>
      </c>
      <c r="D28" s="608">
        <v>218270.4</v>
      </c>
      <c r="E28" s="985">
        <v>317000</v>
      </c>
      <c r="F28" s="985">
        <v>317000</v>
      </c>
      <c r="G28" s="985">
        <v>317000</v>
      </c>
      <c r="H28" s="986">
        <v>317000</v>
      </c>
    </row>
    <row r="29" spans="2:8" ht="20.100000000000001" customHeight="1" x14ac:dyDescent="0.2">
      <c r="B29" s="983" t="s">
        <v>75</v>
      </c>
      <c r="C29" s="1002" t="s">
        <v>979</v>
      </c>
      <c r="D29" s="608">
        <v>119200</v>
      </c>
      <c r="E29" s="985">
        <v>250000</v>
      </c>
      <c r="F29" s="985">
        <v>250000</v>
      </c>
      <c r="G29" s="985">
        <v>250000</v>
      </c>
      <c r="H29" s="986">
        <v>250000</v>
      </c>
    </row>
    <row r="30" spans="2:8" ht="20.100000000000001" customHeight="1" x14ac:dyDescent="0.2">
      <c r="B30" s="983" t="s">
        <v>76</v>
      </c>
      <c r="C30" s="1002" t="s">
        <v>980</v>
      </c>
      <c r="D30" s="608">
        <v>119800</v>
      </c>
      <c r="E30" s="985">
        <v>140000</v>
      </c>
      <c r="F30" s="985">
        <v>140000</v>
      </c>
      <c r="G30" s="985">
        <v>140000</v>
      </c>
      <c r="H30" s="986">
        <v>140000</v>
      </c>
    </row>
    <row r="31" spans="2:8" ht="20.100000000000001" customHeight="1" x14ac:dyDescent="0.2">
      <c r="B31" s="983" t="s">
        <v>77</v>
      </c>
      <c r="C31" s="1002" t="s">
        <v>981</v>
      </c>
      <c r="D31" s="608">
        <v>52830.9</v>
      </c>
      <c r="E31" s="985">
        <v>50000</v>
      </c>
      <c r="F31" s="985">
        <v>50000</v>
      </c>
      <c r="G31" s="985">
        <v>50000</v>
      </c>
      <c r="H31" s="986">
        <v>50000</v>
      </c>
    </row>
    <row r="32" spans="2:8" ht="20.100000000000001" customHeight="1" x14ac:dyDescent="0.2">
      <c r="B32" s="983" t="s">
        <v>78</v>
      </c>
      <c r="C32" s="1002" t="s">
        <v>982</v>
      </c>
      <c r="D32" s="608">
        <v>288128</v>
      </c>
      <c r="E32" s="985">
        <v>290000</v>
      </c>
      <c r="F32" s="985">
        <v>290000</v>
      </c>
      <c r="G32" s="985">
        <v>290000</v>
      </c>
      <c r="H32" s="986">
        <v>290000</v>
      </c>
    </row>
    <row r="33" spans="2:8" ht="20.100000000000001" customHeight="1" x14ac:dyDescent="0.2">
      <c r="B33" s="983" t="s">
        <v>123</v>
      </c>
      <c r="C33" s="1002" t="s">
        <v>983</v>
      </c>
      <c r="D33" s="608">
        <v>198000</v>
      </c>
      <c r="E33" s="985">
        <v>220000</v>
      </c>
      <c r="F33" s="985">
        <v>220000</v>
      </c>
      <c r="G33" s="985">
        <v>220000</v>
      </c>
      <c r="H33" s="986">
        <v>220000</v>
      </c>
    </row>
    <row r="34" spans="2:8" ht="20.100000000000001" customHeight="1" x14ac:dyDescent="0.2">
      <c r="B34" s="983" t="s">
        <v>79</v>
      </c>
      <c r="C34" s="1002" t="s">
        <v>984</v>
      </c>
      <c r="D34" s="608">
        <v>312500</v>
      </c>
      <c r="E34" s="985">
        <v>400000</v>
      </c>
      <c r="F34" s="985">
        <v>400000</v>
      </c>
      <c r="G34" s="985">
        <v>400000</v>
      </c>
      <c r="H34" s="986">
        <v>400000</v>
      </c>
    </row>
    <row r="35" spans="2:8" ht="20.100000000000001" customHeight="1" x14ac:dyDescent="0.2">
      <c r="B35" s="987" t="s">
        <v>937</v>
      </c>
      <c r="C35" s="1002" t="s">
        <v>985</v>
      </c>
      <c r="D35" s="609">
        <v>494749.98</v>
      </c>
      <c r="E35" s="989"/>
      <c r="F35" s="989"/>
      <c r="G35" s="989"/>
      <c r="H35" s="990"/>
    </row>
    <row r="36" spans="2:8" ht="20.100000000000001" customHeight="1" x14ac:dyDescent="0.2">
      <c r="B36" s="987" t="s">
        <v>938</v>
      </c>
      <c r="C36" s="1002" t="s">
        <v>986</v>
      </c>
      <c r="D36" s="609">
        <v>46530</v>
      </c>
      <c r="E36" s="989">
        <v>100000</v>
      </c>
      <c r="F36" s="989">
        <v>100000</v>
      </c>
      <c r="G36" s="989">
        <v>100000</v>
      </c>
      <c r="H36" s="990">
        <v>100000</v>
      </c>
    </row>
    <row r="37" spans="2:8" ht="20.100000000000001" customHeight="1" x14ac:dyDescent="0.2">
      <c r="B37" s="987" t="s">
        <v>939</v>
      </c>
      <c r="C37" s="1003" t="s">
        <v>987</v>
      </c>
      <c r="D37" s="609">
        <v>62624.07</v>
      </c>
      <c r="E37" s="989">
        <v>300000</v>
      </c>
      <c r="F37" s="989">
        <v>300000</v>
      </c>
      <c r="G37" s="989">
        <v>300000</v>
      </c>
      <c r="H37" s="990">
        <v>300000</v>
      </c>
    </row>
    <row r="38" spans="2:8" ht="20.100000000000001" customHeight="1" x14ac:dyDescent="0.2">
      <c r="B38" s="987" t="s">
        <v>940</v>
      </c>
      <c r="C38" s="1002" t="s">
        <v>988</v>
      </c>
      <c r="D38" s="609">
        <v>348680</v>
      </c>
      <c r="E38" s="989">
        <v>270000</v>
      </c>
      <c r="F38" s="989">
        <v>270000</v>
      </c>
      <c r="G38" s="989">
        <v>270000</v>
      </c>
      <c r="H38" s="990">
        <v>270000</v>
      </c>
    </row>
    <row r="39" spans="2:8" ht="20.100000000000001" customHeight="1" x14ac:dyDescent="0.2">
      <c r="B39" s="987" t="s">
        <v>941</v>
      </c>
      <c r="C39" s="1003" t="s">
        <v>989</v>
      </c>
      <c r="D39" s="609">
        <v>95195</v>
      </c>
      <c r="E39" s="989">
        <v>100000</v>
      </c>
      <c r="F39" s="989">
        <v>100000</v>
      </c>
      <c r="G39" s="989">
        <v>100000</v>
      </c>
      <c r="H39" s="990">
        <v>100000</v>
      </c>
    </row>
    <row r="40" spans="2:8" ht="20.100000000000001" customHeight="1" x14ac:dyDescent="0.2">
      <c r="B40" s="987" t="s">
        <v>942</v>
      </c>
      <c r="C40" s="1002" t="s">
        <v>990</v>
      </c>
      <c r="D40" s="609"/>
      <c r="E40" s="989">
        <v>110000</v>
      </c>
      <c r="F40" s="989">
        <v>110000</v>
      </c>
      <c r="G40" s="989">
        <v>110000</v>
      </c>
      <c r="H40" s="990">
        <v>110000</v>
      </c>
    </row>
    <row r="41" spans="2:8" ht="20.100000000000001" customHeight="1" x14ac:dyDescent="0.2">
      <c r="B41" s="987" t="s">
        <v>957</v>
      </c>
      <c r="C41" s="1002" t="s">
        <v>991</v>
      </c>
      <c r="D41" s="609">
        <v>144413</v>
      </c>
      <c r="E41" s="989">
        <v>100000</v>
      </c>
      <c r="F41" s="989">
        <v>100000</v>
      </c>
      <c r="G41" s="989">
        <v>100000</v>
      </c>
      <c r="H41" s="990">
        <v>100000</v>
      </c>
    </row>
    <row r="42" spans="2:8" ht="20.100000000000001" customHeight="1" x14ac:dyDescent="0.2">
      <c r="B42" s="987" t="s">
        <v>958</v>
      </c>
      <c r="C42" s="1004" t="s">
        <v>992</v>
      </c>
      <c r="D42" s="609">
        <v>372160.5</v>
      </c>
      <c r="E42" s="989">
        <v>2274970</v>
      </c>
      <c r="F42" s="989">
        <v>2274970</v>
      </c>
      <c r="G42" s="989">
        <v>2274970</v>
      </c>
      <c r="H42" s="990">
        <v>2274970</v>
      </c>
    </row>
    <row r="43" spans="2:8" ht="20.100000000000001" customHeight="1" x14ac:dyDescent="0.2">
      <c r="B43" s="987" t="s">
        <v>959</v>
      </c>
      <c r="C43" s="1004" t="s">
        <v>993</v>
      </c>
      <c r="D43" s="609"/>
      <c r="E43" s="989">
        <v>0</v>
      </c>
      <c r="F43" s="989">
        <v>0</v>
      </c>
      <c r="G43" s="989">
        <v>0</v>
      </c>
      <c r="H43" s="990">
        <v>0</v>
      </c>
    </row>
    <row r="44" spans="2:8" ht="20.100000000000001" customHeight="1" x14ac:dyDescent="0.2">
      <c r="B44" s="987" t="s">
        <v>960</v>
      </c>
      <c r="C44" s="1002" t="s">
        <v>994</v>
      </c>
      <c r="D44" s="609">
        <v>8997430</v>
      </c>
      <c r="E44" s="989">
        <v>15000000</v>
      </c>
      <c r="F44" s="989">
        <v>15000000</v>
      </c>
      <c r="G44" s="989">
        <v>15000000</v>
      </c>
      <c r="H44" s="990">
        <v>15000000</v>
      </c>
    </row>
    <row r="45" spans="2:8" ht="20.100000000000001" customHeight="1" x14ac:dyDescent="0.2">
      <c r="B45" s="987" t="s">
        <v>961</v>
      </c>
      <c r="C45" s="1002" t="s">
        <v>995</v>
      </c>
      <c r="D45" s="609"/>
      <c r="E45" s="989"/>
      <c r="F45" s="989"/>
      <c r="G45" s="989"/>
      <c r="H45" s="990"/>
    </row>
    <row r="46" spans="2:8" ht="20.100000000000001" customHeight="1" x14ac:dyDescent="0.2">
      <c r="B46" s="987" t="s">
        <v>962</v>
      </c>
      <c r="C46" s="1002" t="s">
        <v>996</v>
      </c>
      <c r="D46" s="609"/>
      <c r="E46" s="989"/>
      <c r="F46" s="989"/>
      <c r="G46" s="989"/>
      <c r="H46" s="990"/>
    </row>
    <row r="47" spans="2:8" ht="20.100000000000001" customHeight="1" x14ac:dyDescent="0.2">
      <c r="B47" s="987" t="s">
        <v>963</v>
      </c>
      <c r="C47" s="1002" t="s">
        <v>997</v>
      </c>
      <c r="D47" s="609">
        <v>463935.6</v>
      </c>
      <c r="E47" s="989"/>
      <c r="F47" s="989"/>
      <c r="G47" s="989"/>
      <c r="H47" s="990"/>
    </row>
    <row r="48" spans="2:8" ht="20.100000000000001" customHeight="1" x14ac:dyDescent="0.2">
      <c r="B48" s="987" t="s">
        <v>964</v>
      </c>
      <c r="C48" s="1002" t="s">
        <v>998</v>
      </c>
      <c r="D48" s="609">
        <v>254892</v>
      </c>
      <c r="E48" s="989">
        <v>1200000</v>
      </c>
      <c r="F48" s="989">
        <v>1200000</v>
      </c>
      <c r="G48" s="989">
        <v>1200000</v>
      </c>
      <c r="H48" s="990">
        <v>1200000</v>
      </c>
    </row>
    <row r="49" spans="1:8" ht="20.100000000000001" customHeight="1" x14ac:dyDescent="0.2">
      <c r="B49" s="987" t="s">
        <v>965</v>
      </c>
      <c r="C49" s="1002" t="s">
        <v>999</v>
      </c>
      <c r="D49" s="609"/>
      <c r="E49" s="989">
        <v>250000</v>
      </c>
      <c r="F49" s="989">
        <v>250000</v>
      </c>
      <c r="G49" s="989">
        <v>250000</v>
      </c>
      <c r="H49" s="990">
        <v>250000</v>
      </c>
    </row>
    <row r="50" spans="1:8" ht="20.100000000000001" customHeight="1" x14ac:dyDescent="0.2">
      <c r="B50" s="987" t="s">
        <v>966</v>
      </c>
      <c r="C50" s="1002" t="s">
        <v>1000</v>
      </c>
      <c r="D50" s="609"/>
      <c r="E50" s="989">
        <v>2500000</v>
      </c>
      <c r="F50" s="989">
        <v>2500000</v>
      </c>
      <c r="G50" s="989">
        <v>2500000</v>
      </c>
      <c r="H50" s="990">
        <v>2500000</v>
      </c>
    </row>
    <row r="51" spans="1:8" ht="20.100000000000001" customHeight="1" x14ac:dyDescent="0.2">
      <c r="B51" s="987" t="s">
        <v>967</v>
      </c>
      <c r="C51" s="1002" t="s">
        <v>1001</v>
      </c>
      <c r="D51" s="609">
        <v>1259623.04</v>
      </c>
      <c r="E51" s="989">
        <v>1200000</v>
      </c>
      <c r="F51" s="989">
        <v>1200000</v>
      </c>
      <c r="G51" s="989">
        <v>1200000</v>
      </c>
      <c r="H51" s="990">
        <v>1200000</v>
      </c>
    </row>
    <row r="52" spans="1:8" ht="20.100000000000001" customHeight="1" x14ac:dyDescent="0.2">
      <c r="B52" s="987" t="s">
        <v>968</v>
      </c>
      <c r="C52" s="1002" t="s">
        <v>1002</v>
      </c>
      <c r="D52" s="609">
        <v>1998036.48</v>
      </c>
      <c r="E52" s="989">
        <v>10000000</v>
      </c>
      <c r="F52" s="989">
        <v>10000000</v>
      </c>
      <c r="G52" s="989">
        <v>10000000</v>
      </c>
      <c r="H52" s="990">
        <v>10000000</v>
      </c>
    </row>
    <row r="53" spans="1:8" ht="20.100000000000001" customHeight="1" x14ac:dyDescent="0.2">
      <c r="B53" s="987" t="s">
        <v>969</v>
      </c>
      <c r="C53" s="1002" t="s">
        <v>1003</v>
      </c>
      <c r="D53" s="609">
        <v>1499825.25</v>
      </c>
      <c r="E53" s="989">
        <v>10000000</v>
      </c>
      <c r="F53" s="989">
        <v>10000000</v>
      </c>
      <c r="G53" s="989">
        <v>10000000</v>
      </c>
      <c r="H53" s="990">
        <v>10000000</v>
      </c>
    </row>
    <row r="54" spans="1:8" ht="20.100000000000001" customHeight="1" x14ac:dyDescent="0.2">
      <c r="B54" s="987" t="s">
        <v>970</v>
      </c>
      <c r="C54" s="1002" t="s">
        <v>1004</v>
      </c>
      <c r="D54" s="609"/>
      <c r="E54" s="989">
        <v>5000000</v>
      </c>
      <c r="F54" s="989">
        <v>5000000</v>
      </c>
      <c r="G54" s="989">
        <v>5000000</v>
      </c>
      <c r="H54" s="990">
        <v>5000000</v>
      </c>
    </row>
    <row r="55" spans="1:8" ht="20.100000000000001" customHeight="1" x14ac:dyDescent="0.2">
      <c r="B55" s="987" t="s">
        <v>971</v>
      </c>
      <c r="C55" s="1002" t="s">
        <v>1005</v>
      </c>
      <c r="D55" s="609"/>
      <c r="E55" s="989">
        <v>10000000</v>
      </c>
      <c r="F55" s="989">
        <v>10000000</v>
      </c>
      <c r="G55" s="989">
        <v>10000000</v>
      </c>
      <c r="H55" s="990">
        <v>10000000</v>
      </c>
    </row>
    <row r="56" spans="1:8" ht="20.100000000000001" customHeight="1" x14ac:dyDescent="0.2">
      <c r="B56" s="987" t="s">
        <v>972</v>
      </c>
      <c r="C56" s="1005" t="s">
        <v>1006</v>
      </c>
      <c r="D56" s="609"/>
      <c r="E56" s="989"/>
      <c r="F56" s="989"/>
      <c r="G56" s="989"/>
      <c r="H56" s="990"/>
    </row>
    <row r="57" spans="1:8" ht="20.100000000000001" customHeight="1" x14ac:dyDescent="0.2">
      <c r="B57" s="987" t="s">
        <v>973</v>
      </c>
      <c r="C57" s="1002" t="s">
        <v>1007</v>
      </c>
      <c r="D57" s="609">
        <v>749953.62</v>
      </c>
      <c r="E57" s="989"/>
      <c r="F57" s="989"/>
      <c r="G57" s="989"/>
      <c r="H57" s="990"/>
    </row>
    <row r="58" spans="1:8" ht="20.100000000000001" customHeight="1" x14ac:dyDescent="0.2">
      <c r="B58" s="987" t="s">
        <v>974</v>
      </c>
      <c r="C58" s="1002" t="s">
        <v>1008</v>
      </c>
      <c r="D58" s="609">
        <v>4066400</v>
      </c>
      <c r="E58" s="989"/>
      <c r="F58" s="989">
        <v>6600000</v>
      </c>
      <c r="G58" s="989">
        <v>6600000</v>
      </c>
      <c r="H58" s="990">
        <v>6600000</v>
      </c>
    </row>
    <row r="59" spans="1:8" ht="20.100000000000001" customHeight="1" x14ac:dyDescent="0.2">
      <c r="B59" s="987" t="s">
        <v>975</v>
      </c>
      <c r="C59" s="1002" t="s">
        <v>1009</v>
      </c>
      <c r="D59" s="608"/>
      <c r="E59" s="985">
        <v>3000000</v>
      </c>
      <c r="F59" s="985">
        <v>3000000</v>
      </c>
      <c r="G59" s="985">
        <v>3000000</v>
      </c>
      <c r="H59" s="986">
        <v>3000000</v>
      </c>
    </row>
    <row r="60" spans="1:8" ht="20.100000000000001" customHeight="1" thickBot="1" x14ac:dyDescent="0.25">
      <c r="B60" s="987" t="s">
        <v>1045</v>
      </c>
      <c r="C60" s="1002" t="s">
        <v>1046</v>
      </c>
      <c r="D60" s="608"/>
      <c r="E60" s="985"/>
      <c r="F60" s="985"/>
      <c r="G60" s="985"/>
      <c r="H60" s="986">
        <v>3500000</v>
      </c>
    </row>
    <row r="61" spans="1:8" ht="20.100000000000001" customHeight="1" thickBot="1" x14ac:dyDescent="0.25">
      <c r="B61" s="991"/>
      <c r="C61" s="1006" t="s">
        <v>279</v>
      </c>
      <c r="D61" s="654">
        <f>SUM(D26:D60)</f>
        <v>23249162.09</v>
      </c>
      <c r="E61" s="993">
        <f>SUM(E26:E60)</f>
        <v>65396970</v>
      </c>
      <c r="F61" s="993">
        <f>SUM(F26:F60)</f>
        <v>71996970</v>
      </c>
      <c r="G61" s="993">
        <f>SUM(G26:G60)</f>
        <v>71996970</v>
      </c>
      <c r="H61" s="994">
        <f>SUM(H26:H60)</f>
        <v>75496970</v>
      </c>
    </row>
    <row r="62" spans="1:8" ht="20.100000000000001" customHeight="1" x14ac:dyDescent="0.2">
      <c r="B62" s="1007"/>
      <c r="C62" s="1008" t="s">
        <v>36</v>
      </c>
      <c r="D62" s="1008"/>
      <c r="E62" s="1009"/>
      <c r="F62" s="1009"/>
      <c r="G62" s="1009"/>
      <c r="H62" s="1010"/>
    </row>
    <row r="63" spans="1:8" ht="20.100000000000001" customHeight="1" x14ac:dyDescent="0.2">
      <c r="A63" s="223"/>
      <c r="B63" s="987" t="s">
        <v>67</v>
      </c>
      <c r="C63" s="1011" t="s">
        <v>1010</v>
      </c>
      <c r="D63" s="608">
        <f>SUM(44579674.92,49546444.5)</f>
        <v>94126119.420000002</v>
      </c>
      <c r="E63" s="985"/>
      <c r="F63" s="985">
        <v>100000000</v>
      </c>
      <c r="G63" s="985">
        <v>100000000</v>
      </c>
      <c r="H63" s="986">
        <v>100000000</v>
      </c>
    </row>
    <row r="64" spans="1:8" ht="38.25" x14ac:dyDescent="0.2">
      <c r="A64" s="223"/>
      <c r="B64" s="1012" t="s">
        <v>70</v>
      </c>
      <c r="C64" s="1011" t="s">
        <v>1011</v>
      </c>
      <c r="D64" s="608">
        <v>2880000</v>
      </c>
      <c r="E64" s="985"/>
      <c r="F64" s="985"/>
      <c r="G64" s="985">
        <v>9561200</v>
      </c>
      <c r="H64" s="986">
        <v>9561200</v>
      </c>
    </row>
    <row r="65" spans="1:8" ht="20.100000000000001" customHeight="1" x14ac:dyDescent="0.2">
      <c r="A65" s="223"/>
      <c r="B65" s="1012" t="s">
        <v>86</v>
      </c>
      <c r="C65" s="1011" t="s">
        <v>1012</v>
      </c>
      <c r="D65" s="608"/>
      <c r="E65" s="985"/>
      <c r="F65" s="985"/>
      <c r="G65" s="985"/>
      <c r="H65" s="986"/>
    </row>
    <row r="66" spans="1:8" ht="20.100000000000001" customHeight="1" x14ac:dyDescent="0.2">
      <c r="A66" s="223"/>
      <c r="B66" s="1012" t="s">
        <v>87</v>
      </c>
      <c r="C66" s="1011" t="s">
        <v>1013</v>
      </c>
      <c r="D66" s="608">
        <v>121018618.62</v>
      </c>
      <c r="E66" s="985">
        <v>96000000</v>
      </c>
      <c r="F66" s="985">
        <v>96000000</v>
      </c>
      <c r="G66" s="985">
        <v>96000000</v>
      </c>
      <c r="H66" s="986">
        <v>96000000</v>
      </c>
    </row>
    <row r="67" spans="1:8" ht="20.100000000000001" customHeight="1" x14ac:dyDescent="0.2">
      <c r="A67" s="223"/>
      <c r="B67" s="1012" t="s">
        <v>88</v>
      </c>
      <c r="C67" s="1011" t="s">
        <v>1014</v>
      </c>
      <c r="D67" s="608">
        <v>10130470.32</v>
      </c>
      <c r="E67" s="985">
        <v>32000000</v>
      </c>
      <c r="F67" s="985">
        <v>32000000</v>
      </c>
      <c r="G67" s="985">
        <v>32000000</v>
      </c>
      <c r="H67" s="986">
        <v>62200000</v>
      </c>
    </row>
    <row r="68" spans="1:8" ht="20.100000000000001" customHeight="1" x14ac:dyDescent="0.2">
      <c r="A68" s="223"/>
      <c r="B68" s="1012" t="s">
        <v>89</v>
      </c>
      <c r="C68" s="1011" t="s">
        <v>1015</v>
      </c>
      <c r="D68" s="608"/>
      <c r="E68" s="985">
        <v>30000000</v>
      </c>
      <c r="F68" s="985">
        <v>30000000</v>
      </c>
      <c r="G68" s="985">
        <v>30000000</v>
      </c>
      <c r="H68" s="986">
        <v>30000000</v>
      </c>
    </row>
    <row r="69" spans="1:8" ht="20.100000000000001" customHeight="1" x14ac:dyDescent="0.2">
      <c r="A69" s="223"/>
      <c r="B69" s="1012" t="s">
        <v>90</v>
      </c>
      <c r="C69" s="1002" t="s">
        <v>1016</v>
      </c>
      <c r="D69" s="608"/>
      <c r="E69" s="985">
        <v>4000000</v>
      </c>
      <c r="F69" s="985">
        <v>4000000</v>
      </c>
      <c r="G69" s="985">
        <v>4000000</v>
      </c>
      <c r="H69" s="986">
        <v>4000000</v>
      </c>
    </row>
    <row r="70" spans="1:8" ht="20.100000000000001" customHeight="1" x14ac:dyDescent="0.2">
      <c r="A70" s="223"/>
      <c r="B70" s="1012" t="s">
        <v>91</v>
      </c>
      <c r="C70" s="1002" t="s">
        <v>1044</v>
      </c>
      <c r="D70" s="608"/>
      <c r="E70" s="985"/>
      <c r="F70" s="985"/>
      <c r="G70" s="985"/>
      <c r="H70" s="986">
        <v>3000000</v>
      </c>
    </row>
    <row r="71" spans="1:8" ht="20.100000000000001" customHeight="1" x14ac:dyDescent="0.2">
      <c r="A71" s="223"/>
      <c r="B71" s="1012" t="s">
        <v>50</v>
      </c>
      <c r="C71" s="1002" t="s">
        <v>1017</v>
      </c>
      <c r="D71" s="608">
        <v>3007483.19</v>
      </c>
      <c r="E71" s="985">
        <v>5000000</v>
      </c>
      <c r="F71" s="985">
        <v>5000000</v>
      </c>
      <c r="G71" s="985">
        <v>5000000</v>
      </c>
      <c r="H71" s="986">
        <v>5000000</v>
      </c>
    </row>
    <row r="72" spans="1:8" ht="20.100000000000001" customHeight="1" x14ac:dyDescent="0.2">
      <c r="A72" s="223"/>
      <c r="B72" s="1012" t="s">
        <v>937</v>
      </c>
      <c r="C72" s="1002" t="s">
        <v>1018</v>
      </c>
      <c r="D72" s="608">
        <v>3599469</v>
      </c>
      <c r="E72" s="985"/>
      <c r="F72" s="985">
        <v>20000000</v>
      </c>
      <c r="G72" s="985">
        <v>20000000</v>
      </c>
      <c r="H72" s="986">
        <v>20000000</v>
      </c>
    </row>
    <row r="73" spans="1:8" ht="20.100000000000001" customHeight="1" x14ac:dyDescent="0.2">
      <c r="A73" s="223"/>
      <c r="B73" s="1012" t="s">
        <v>938</v>
      </c>
      <c r="C73" s="1013" t="s">
        <v>1019</v>
      </c>
      <c r="D73" s="608"/>
      <c r="E73" s="985"/>
      <c r="F73" s="985"/>
      <c r="G73" s="985"/>
      <c r="H73" s="986"/>
    </row>
    <row r="74" spans="1:8" ht="20.100000000000001" customHeight="1" x14ac:dyDescent="0.2">
      <c r="A74" s="223"/>
      <c r="B74" s="1012" t="s">
        <v>939</v>
      </c>
      <c r="C74" s="1013" t="s">
        <v>1020</v>
      </c>
      <c r="D74" s="608"/>
      <c r="E74" s="985"/>
      <c r="F74" s="985"/>
      <c r="G74" s="985"/>
      <c r="H74" s="986"/>
    </row>
    <row r="75" spans="1:8" ht="20.100000000000001" customHeight="1" x14ac:dyDescent="0.2">
      <c r="A75" s="223"/>
      <c r="B75" s="1012" t="s">
        <v>940</v>
      </c>
      <c r="C75" s="1013" t="s">
        <v>1021</v>
      </c>
      <c r="D75" s="608"/>
      <c r="E75" s="985"/>
      <c r="F75" s="985"/>
      <c r="G75" s="985"/>
      <c r="H75" s="986"/>
    </row>
    <row r="76" spans="1:8" ht="20.100000000000001" customHeight="1" x14ac:dyDescent="0.2">
      <c r="A76" s="223"/>
      <c r="B76" s="1012" t="s">
        <v>941</v>
      </c>
      <c r="C76" s="1013" t="s">
        <v>1022</v>
      </c>
      <c r="D76" s="608"/>
      <c r="E76" s="985"/>
      <c r="F76" s="985"/>
      <c r="G76" s="985"/>
      <c r="H76" s="986"/>
    </row>
    <row r="77" spans="1:8" ht="20.100000000000001" customHeight="1" thickBot="1" x14ac:dyDescent="0.25">
      <c r="A77" s="223"/>
      <c r="B77" s="1014" t="s">
        <v>942</v>
      </c>
      <c r="C77" s="1013" t="s">
        <v>1023</v>
      </c>
      <c r="D77" s="608"/>
      <c r="E77" s="985"/>
      <c r="F77" s="985"/>
      <c r="G77" s="985"/>
      <c r="H77" s="986"/>
    </row>
    <row r="78" spans="1:8" ht="20.100000000000001" customHeight="1" thickBot="1" x14ac:dyDescent="0.25">
      <c r="A78" s="223"/>
      <c r="B78" s="1014" t="s">
        <v>957</v>
      </c>
      <c r="C78" s="1015" t="s">
        <v>1024</v>
      </c>
      <c r="D78" s="611"/>
      <c r="E78" s="1016"/>
      <c r="F78" s="1016"/>
      <c r="G78" s="1016"/>
      <c r="H78" s="1017"/>
    </row>
    <row r="79" spans="1:8" ht="20.100000000000001" customHeight="1" thickBot="1" x14ac:dyDescent="0.25">
      <c r="A79" s="223"/>
      <c r="B79" s="1018"/>
      <c r="C79" s="1019" t="s">
        <v>280</v>
      </c>
      <c r="D79" s="655">
        <f>SUM(D63:D78)</f>
        <v>234762160.55000001</v>
      </c>
      <c r="E79" s="1020">
        <f>SUM(E63:E78)</f>
        <v>167000000</v>
      </c>
      <c r="F79" s="1021">
        <f>SUM(F63:F78)</f>
        <v>287000000</v>
      </c>
      <c r="G79" s="1020">
        <f>SUM(G63:G78)</f>
        <v>296561200</v>
      </c>
      <c r="H79" s="1022">
        <f>SUM(H63:H78)</f>
        <v>329761200</v>
      </c>
    </row>
    <row r="80" spans="1:8" ht="20.100000000000001" customHeight="1" thickBot="1" x14ac:dyDescent="0.25">
      <c r="B80" s="1023" t="s">
        <v>348</v>
      </c>
      <c r="C80" s="1024"/>
      <c r="D80" s="656">
        <f>SUM(D24,D61,D79)</f>
        <v>263322165.52000001</v>
      </c>
      <c r="E80" s="657">
        <f>SUM(E24,E61,E79)</f>
        <v>238446970</v>
      </c>
      <c r="F80" s="657">
        <f>SUM(F24,F61,F79)</f>
        <v>365046970</v>
      </c>
      <c r="G80" s="657">
        <f>SUM(G24,G61,G79)</f>
        <v>374608170</v>
      </c>
      <c r="H80" s="658">
        <f>SUM(H24,H61,H79)</f>
        <v>411308170</v>
      </c>
    </row>
    <row r="81" spans="2:7" ht="15.75" x14ac:dyDescent="0.25">
      <c r="B81" s="153"/>
      <c r="D81" s="230"/>
      <c r="E81" s="231"/>
      <c r="F81" s="231"/>
      <c r="G81" s="231"/>
    </row>
    <row r="82" spans="2:7" ht="15.75" x14ac:dyDescent="0.25">
      <c r="B82" s="232"/>
      <c r="C82" s="233"/>
      <c r="D82" s="230"/>
      <c r="E82" s="231"/>
      <c r="F82" s="231"/>
      <c r="G82" s="231"/>
    </row>
    <row r="83" spans="2:7" ht="15.75" x14ac:dyDescent="0.25">
      <c r="B83" s="93"/>
    </row>
  </sheetData>
  <mergeCells count="11">
    <mergeCell ref="G6:G7"/>
    <mergeCell ref="C8:H8"/>
    <mergeCell ref="C25:H25"/>
    <mergeCell ref="B80:C80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61:B64 B9:B17 B26:B3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104"/>
  <sheetViews>
    <sheetView showGridLines="0" topLeftCell="B10" zoomScale="86" zoomScaleNormal="86" workbookViewId="0">
      <selection activeCell="N30" sqref="N30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 t="s">
        <v>756</v>
      </c>
    </row>
    <row r="2" spans="2:15" ht="15" x14ac:dyDescent="0.2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2:15" ht="18" x14ac:dyDescent="0.25">
      <c r="B3" s="781" t="s">
        <v>385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</row>
    <row r="4" spans="2:15" ht="15" customHeight="1" x14ac:dyDescent="0.25">
      <c r="B4" s="234"/>
      <c r="C4" s="4"/>
      <c r="D4" s="235"/>
      <c r="E4" s="235"/>
      <c r="F4" s="235"/>
      <c r="G4" s="235"/>
      <c r="H4" s="234"/>
      <c r="I4" s="234"/>
      <c r="J4" s="234"/>
      <c r="K4" s="234"/>
      <c r="L4" s="234"/>
      <c r="M4" s="234"/>
      <c r="N4" s="234"/>
      <c r="O4" s="234"/>
    </row>
    <row r="5" spans="2:15" ht="16.5" thickBot="1" x14ac:dyDescent="0.3"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6"/>
      <c r="O5" s="267" t="s">
        <v>198</v>
      </c>
    </row>
    <row r="6" spans="2:15" ht="32.25" customHeight="1" thickBot="1" x14ac:dyDescent="0.25">
      <c r="B6" s="931" t="s">
        <v>2</v>
      </c>
      <c r="C6" s="933" t="s">
        <v>386</v>
      </c>
      <c r="D6" s="933" t="s">
        <v>72</v>
      </c>
      <c r="E6" s="933" t="s">
        <v>73</v>
      </c>
      <c r="F6" s="933" t="s">
        <v>74</v>
      </c>
      <c r="G6" s="933" t="s">
        <v>875</v>
      </c>
      <c r="H6" s="935" t="s">
        <v>250</v>
      </c>
      <c r="I6" s="933" t="s">
        <v>251</v>
      </c>
      <c r="J6" s="937" t="s">
        <v>814</v>
      </c>
      <c r="K6" s="938"/>
      <c r="L6" s="938"/>
      <c r="M6" s="939"/>
      <c r="N6" s="933" t="s">
        <v>876</v>
      </c>
      <c r="O6" s="940" t="s">
        <v>877</v>
      </c>
    </row>
    <row r="7" spans="2:15" ht="62.25" customHeight="1" thickBot="1" x14ac:dyDescent="0.25">
      <c r="B7" s="932"/>
      <c r="C7" s="934"/>
      <c r="D7" s="934"/>
      <c r="E7" s="934"/>
      <c r="F7" s="934"/>
      <c r="G7" s="934"/>
      <c r="H7" s="936"/>
      <c r="I7" s="934"/>
      <c r="J7" s="266" t="s">
        <v>835</v>
      </c>
      <c r="K7" s="266" t="s">
        <v>824</v>
      </c>
      <c r="L7" s="266" t="s">
        <v>825</v>
      </c>
      <c r="M7" s="266" t="s">
        <v>830</v>
      </c>
      <c r="N7" s="934"/>
      <c r="O7" s="941"/>
    </row>
    <row r="8" spans="2:15" ht="17.100000000000001" customHeight="1" x14ac:dyDescent="0.2">
      <c r="B8" s="920">
        <v>1</v>
      </c>
      <c r="C8" s="923" t="s">
        <v>1025</v>
      </c>
      <c r="D8" s="926">
        <v>2019</v>
      </c>
      <c r="E8" s="926">
        <v>2027</v>
      </c>
      <c r="F8" s="926">
        <f>SUM(I10,N10,O10,G8)</f>
        <v>91194</v>
      </c>
      <c r="G8" s="917">
        <f>SUM(20716,6656,1722)</f>
        <v>29094</v>
      </c>
      <c r="H8" s="237" t="s">
        <v>68</v>
      </c>
      <c r="I8" s="238"/>
      <c r="J8" s="239"/>
      <c r="K8" s="239"/>
      <c r="L8" s="239"/>
      <c r="M8" s="239"/>
      <c r="N8" s="239"/>
      <c r="O8" s="240"/>
    </row>
    <row r="9" spans="2:15" ht="17.100000000000001" customHeight="1" x14ac:dyDescent="0.2">
      <c r="B9" s="921"/>
      <c r="C9" s="924"/>
      <c r="D9" s="927"/>
      <c r="E9" s="927"/>
      <c r="F9" s="927"/>
      <c r="G9" s="918"/>
      <c r="H9" s="241" t="s">
        <v>69</v>
      </c>
      <c r="I9" s="242"/>
      <c r="J9" s="243"/>
      <c r="K9" s="243"/>
      <c r="L9" s="243"/>
      <c r="M9" s="243"/>
      <c r="N9" s="243"/>
      <c r="O9" s="244"/>
    </row>
    <row r="10" spans="2:15" ht="17.100000000000001" customHeight="1" x14ac:dyDescent="0.2">
      <c r="B10" s="921"/>
      <c r="C10" s="924"/>
      <c r="D10" s="927"/>
      <c r="E10" s="927"/>
      <c r="F10" s="927"/>
      <c r="G10" s="918"/>
      <c r="H10" s="241" t="s">
        <v>355</v>
      </c>
      <c r="I10" s="1025">
        <f>SUM(M10)</f>
        <v>32100</v>
      </c>
      <c r="J10" s="243">
        <v>2100</v>
      </c>
      <c r="K10" s="243">
        <v>12750</v>
      </c>
      <c r="L10" s="243">
        <v>32100</v>
      </c>
      <c r="M10" s="243">
        <v>32100</v>
      </c>
      <c r="N10" s="243">
        <v>15000</v>
      </c>
      <c r="O10" s="244">
        <v>15000</v>
      </c>
    </row>
    <row r="11" spans="2:15" ht="17.100000000000001" customHeight="1" thickBot="1" x14ac:dyDescent="0.25">
      <c r="B11" s="921"/>
      <c r="C11" s="924"/>
      <c r="D11" s="927"/>
      <c r="E11" s="927"/>
      <c r="F11" s="927"/>
      <c r="G11" s="918"/>
      <c r="H11" s="245" t="s">
        <v>23</v>
      </c>
      <c r="I11" s="246"/>
      <c r="J11" s="247"/>
      <c r="K11" s="247"/>
      <c r="L11" s="247"/>
      <c r="M11" s="247"/>
      <c r="N11" s="247"/>
      <c r="O11" s="248"/>
    </row>
    <row r="12" spans="2:15" ht="17.100000000000001" customHeight="1" thickBot="1" x14ac:dyDescent="0.25">
      <c r="B12" s="922"/>
      <c r="C12" s="925"/>
      <c r="D12" s="928"/>
      <c r="E12" s="928"/>
      <c r="F12" s="928"/>
      <c r="G12" s="919"/>
      <c r="H12" s="268" t="s">
        <v>249</v>
      </c>
      <c r="I12" s="269">
        <f>SUM(I8:I11)</f>
        <v>32100</v>
      </c>
      <c r="J12" s="269">
        <f t="shared" ref="J12:O12" si="0">SUM(J8:J11)</f>
        <v>2100</v>
      </c>
      <c r="K12" s="269">
        <f t="shared" si="0"/>
        <v>12750</v>
      </c>
      <c r="L12" s="269">
        <f t="shared" si="0"/>
        <v>32100</v>
      </c>
      <c r="M12" s="269">
        <f t="shared" si="0"/>
        <v>32100</v>
      </c>
      <c r="N12" s="269">
        <f t="shared" si="0"/>
        <v>15000</v>
      </c>
      <c r="O12" s="618">
        <f t="shared" si="0"/>
        <v>15000</v>
      </c>
    </row>
    <row r="13" spans="2:15" ht="17.100000000000001" customHeight="1" x14ac:dyDescent="0.2">
      <c r="B13" s="920">
        <v>2</v>
      </c>
      <c r="C13" s="923" t="s">
        <v>1010</v>
      </c>
      <c r="D13" s="926">
        <v>2024</v>
      </c>
      <c r="E13" s="926">
        <v>2026</v>
      </c>
      <c r="F13" s="926">
        <f>SUM(I15,N15,O15,G13)</f>
        <v>478439</v>
      </c>
      <c r="G13" s="917">
        <f>SUM(41289,37150)</f>
        <v>78439</v>
      </c>
      <c r="H13" s="237" t="s">
        <v>68</v>
      </c>
      <c r="I13" s="238"/>
      <c r="J13" s="239"/>
      <c r="K13" s="239"/>
      <c r="L13" s="239"/>
      <c r="M13" s="239"/>
      <c r="N13" s="239"/>
      <c r="O13" s="240"/>
    </row>
    <row r="14" spans="2:15" ht="17.100000000000001" customHeight="1" x14ac:dyDescent="0.2">
      <c r="B14" s="921"/>
      <c r="C14" s="924"/>
      <c r="D14" s="927"/>
      <c r="E14" s="927"/>
      <c r="F14" s="927"/>
      <c r="G14" s="918"/>
      <c r="H14" s="241" t="s">
        <v>69</v>
      </c>
      <c r="I14" s="242"/>
      <c r="J14" s="243"/>
      <c r="K14" s="243"/>
      <c r="L14" s="243"/>
      <c r="M14" s="243"/>
      <c r="N14" s="243"/>
      <c r="O14" s="244"/>
    </row>
    <row r="15" spans="2:15" ht="17.100000000000001" customHeight="1" x14ac:dyDescent="0.2">
      <c r="B15" s="921"/>
      <c r="C15" s="924"/>
      <c r="D15" s="927"/>
      <c r="E15" s="927"/>
      <c r="F15" s="927"/>
      <c r="G15" s="918"/>
      <c r="H15" s="241" t="s">
        <v>355</v>
      </c>
      <c r="I15" s="1025">
        <f>SUM(M15)</f>
        <v>100000</v>
      </c>
      <c r="J15" s="243">
        <v>17200</v>
      </c>
      <c r="K15" s="243">
        <v>50000</v>
      </c>
      <c r="L15" s="243">
        <v>100000</v>
      </c>
      <c r="M15" s="243">
        <v>100000</v>
      </c>
      <c r="N15" s="243">
        <v>150000</v>
      </c>
      <c r="O15" s="244">
        <v>150000</v>
      </c>
    </row>
    <row r="16" spans="2:15" ht="17.100000000000001" customHeight="1" thickBot="1" x14ac:dyDescent="0.25">
      <c r="B16" s="921"/>
      <c r="C16" s="924"/>
      <c r="D16" s="927"/>
      <c r="E16" s="927"/>
      <c r="F16" s="927"/>
      <c r="G16" s="918"/>
      <c r="H16" s="245" t="s">
        <v>23</v>
      </c>
      <c r="I16" s="246"/>
      <c r="J16" s="247"/>
      <c r="K16" s="247"/>
      <c r="L16" s="247"/>
      <c r="M16" s="247"/>
      <c r="N16" s="247"/>
      <c r="O16" s="248"/>
    </row>
    <row r="17" spans="2:15" ht="17.100000000000001" customHeight="1" thickBot="1" x14ac:dyDescent="0.25">
      <c r="B17" s="922"/>
      <c r="C17" s="925"/>
      <c r="D17" s="928"/>
      <c r="E17" s="928"/>
      <c r="F17" s="928"/>
      <c r="G17" s="919"/>
      <c r="H17" s="268" t="s">
        <v>249</v>
      </c>
      <c r="I17" s="269">
        <f>SUM(I13:I16)</f>
        <v>100000</v>
      </c>
      <c r="J17" s="269">
        <f t="shared" ref="J17:O17" si="1">SUM(J13:J16)</f>
        <v>17200</v>
      </c>
      <c r="K17" s="269">
        <f t="shared" si="1"/>
        <v>50000</v>
      </c>
      <c r="L17" s="269">
        <f t="shared" si="1"/>
        <v>100000</v>
      </c>
      <c r="M17" s="269">
        <f t="shared" si="1"/>
        <v>100000</v>
      </c>
      <c r="N17" s="269">
        <f t="shared" si="1"/>
        <v>150000</v>
      </c>
      <c r="O17" s="618">
        <f t="shared" si="1"/>
        <v>150000</v>
      </c>
    </row>
    <row r="18" spans="2:15" ht="17.100000000000001" customHeight="1" x14ac:dyDescent="0.2">
      <c r="B18" s="920">
        <v>3</v>
      </c>
      <c r="C18" s="923" t="s">
        <v>1034</v>
      </c>
      <c r="D18" s="926">
        <v>2019</v>
      </c>
      <c r="E18" s="926">
        <v>2025</v>
      </c>
      <c r="F18" s="926">
        <f>SUM(I20,N20,O20,G18,10080,7881)</f>
        <v>127073</v>
      </c>
      <c r="G18" s="917">
        <f>SUM(3240,1242,88829,1680,1200)</f>
        <v>96191</v>
      </c>
      <c r="H18" s="237" t="s">
        <v>68</v>
      </c>
      <c r="I18" s="238"/>
      <c r="J18" s="239"/>
      <c r="K18" s="239"/>
      <c r="L18" s="239"/>
      <c r="M18" s="239"/>
      <c r="N18" s="239"/>
      <c r="O18" s="240"/>
    </row>
    <row r="19" spans="2:15" ht="17.100000000000001" customHeight="1" x14ac:dyDescent="0.2">
      <c r="B19" s="921"/>
      <c r="C19" s="924"/>
      <c r="D19" s="927"/>
      <c r="E19" s="927"/>
      <c r="F19" s="927"/>
      <c r="G19" s="918"/>
      <c r="H19" s="241" t="s">
        <v>69</v>
      </c>
      <c r="I19" s="242"/>
      <c r="J19" s="243"/>
      <c r="K19" s="243"/>
      <c r="L19" s="243"/>
      <c r="M19" s="243"/>
      <c r="N19" s="243"/>
      <c r="O19" s="244"/>
    </row>
    <row r="20" spans="2:15" ht="17.100000000000001" customHeight="1" x14ac:dyDescent="0.2">
      <c r="B20" s="921"/>
      <c r="C20" s="924"/>
      <c r="D20" s="927"/>
      <c r="E20" s="927"/>
      <c r="F20" s="927"/>
      <c r="G20" s="918"/>
      <c r="H20" s="241" t="s">
        <v>355</v>
      </c>
      <c r="I20" s="1025">
        <f>SUM(M20)</f>
        <v>9561</v>
      </c>
      <c r="J20" s="243">
        <v>1680</v>
      </c>
      <c r="K20" s="243">
        <v>9561</v>
      </c>
      <c r="L20" s="243">
        <v>9561</v>
      </c>
      <c r="M20" s="243">
        <v>9561</v>
      </c>
      <c r="N20" s="243">
        <v>1680</v>
      </c>
      <c r="O20" s="244">
        <v>1680</v>
      </c>
    </row>
    <row r="21" spans="2:15" ht="17.100000000000001" customHeight="1" thickBot="1" x14ac:dyDescent="0.25">
      <c r="B21" s="921"/>
      <c r="C21" s="924"/>
      <c r="D21" s="927"/>
      <c r="E21" s="927"/>
      <c r="F21" s="927"/>
      <c r="G21" s="918"/>
      <c r="H21" s="245" t="s">
        <v>23</v>
      </c>
      <c r="I21" s="246"/>
      <c r="J21" s="247"/>
      <c r="K21" s="247"/>
      <c r="L21" s="247"/>
      <c r="M21" s="247"/>
      <c r="N21" s="247"/>
      <c r="O21" s="248"/>
    </row>
    <row r="22" spans="2:15" ht="17.100000000000001" customHeight="1" thickBot="1" x14ac:dyDescent="0.25">
      <c r="B22" s="922"/>
      <c r="C22" s="925"/>
      <c r="D22" s="928"/>
      <c r="E22" s="928"/>
      <c r="F22" s="928"/>
      <c r="G22" s="919"/>
      <c r="H22" s="268" t="s">
        <v>249</v>
      </c>
      <c r="I22" s="269">
        <f>SUM(I18:I21)</f>
        <v>9561</v>
      </c>
      <c r="J22" s="269">
        <f t="shared" ref="J22:O22" si="2">SUM(J18:J21)</f>
        <v>1680</v>
      </c>
      <c r="K22" s="269">
        <f t="shared" si="2"/>
        <v>9561</v>
      </c>
      <c r="L22" s="269">
        <f t="shared" si="2"/>
        <v>9561</v>
      </c>
      <c r="M22" s="269">
        <f t="shared" si="2"/>
        <v>9561</v>
      </c>
      <c r="N22" s="269">
        <f t="shared" si="2"/>
        <v>1680</v>
      </c>
      <c r="O22" s="618">
        <f t="shared" si="2"/>
        <v>1680</v>
      </c>
    </row>
    <row r="23" spans="2:15" ht="17.100000000000001" customHeight="1" x14ac:dyDescent="0.2">
      <c r="B23" s="920">
        <v>4</v>
      </c>
      <c r="C23" s="923" t="s">
        <v>1026</v>
      </c>
      <c r="D23" s="926">
        <v>2025</v>
      </c>
      <c r="E23" s="926">
        <v>2025</v>
      </c>
      <c r="F23" s="926">
        <v>30000</v>
      </c>
      <c r="G23" s="917"/>
      <c r="H23" s="237" t="s">
        <v>68</v>
      </c>
      <c r="I23" s="238"/>
      <c r="J23" s="239"/>
      <c r="K23" s="239"/>
      <c r="L23" s="239"/>
      <c r="M23" s="239"/>
      <c r="N23" s="239"/>
      <c r="O23" s="240"/>
    </row>
    <row r="24" spans="2:15" ht="17.100000000000001" customHeight="1" x14ac:dyDescent="0.2">
      <c r="B24" s="921"/>
      <c r="C24" s="924"/>
      <c r="D24" s="927"/>
      <c r="E24" s="927"/>
      <c r="F24" s="927"/>
      <c r="G24" s="918"/>
      <c r="H24" s="241" t="s">
        <v>69</v>
      </c>
      <c r="I24" s="242"/>
      <c r="J24" s="243"/>
      <c r="K24" s="243"/>
      <c r="L24" s="243"/>
      <c r="M24" s="243"/>
      <c r="N24" s="243"/>
      <c r="O24" s="244"/>
    </row>
    <row r="25" spans="2:15" ht="17.100000000000001" customHeight="1" x14ac:dyDescent="0.2">
      <c r="B25" s="921"/>
      <c r="C25" s="924"/>
      <c r="D25" s="927"/>
      <c r="E25" s="927"/>
      <c r="F25" s="927"/>
      <c r="G25" s="918"/>
      <c r="H25" s="241" t="s">
        <v>355</v>
      </c>
      <c r="I25" s="242"/>
      <c r="J25" s="243"/>
      <c r="K25" s="243"/>
      <c r="L25" s="243"/>
      <c r="M25" s="243"/>
      <c r="N25" s="243"/>
      <c r="O25" s="244"/>
    </row>
    <row r="26" spans="2:15" ht="17.100000000000001" customHeight="1" thickBot="1" x14ac:dyDescent="0.25">
      <c r="B26" s="921"/>
      <c r="C26" s="924"/>
      <c r="D26" s="927"/>
      <c r="E26" s="927"/>
      <c r="F26" s="927"/>
      <c r="G26" s="918"/>
      <c r="H26" s="245" t="s">
        <v>23</v>
      </c>
      <c r="I26" s="246"/>
      <c r="J26" s="247"/>
      <c r="K26" s="247"/>
      <c r="L26" s="247"/>
      <c r="M26" s="247"/>
      <c r="N26" s="247"/>
      <c r="O26" s="248"/>
    </row>
    <row r="27" spans="2:15" ht="17.100000000000001" customHeight="1" thickBot="1" x14ac:dyDescent="0.25">
      <c r="B27" s="922"/>
      <c r="C27" s="925"/>
      <c r="D27" s="928"/>
      <c r="E27" s="928"/>
      <c r="F27" s="928"/>
      <c r="G27" s="919"/>
      <c r="H27" s="268" t="s">
        <v>249</v>
      </c>
      <c r="I27" s="269"/>
      <c r="J27" s="270"/>
      <c r="K27" s="270"/>
      <c r="L27" s="270"/>
      <c r="M27" s="270"/>
      <c r="N27" s="270"/>
      <c r="O27" s="271"/>
    </row>
    <row r="28" spans="2:15" ht="17.100000000000001" customHeight="1" x14ac:dyDescent="0.2">
      <c r="B28" s="920">
        <v>5</v>
      </c>
      <c r="C28" s="923" t="s">
        <v>1012</v>
      </c>
      <c r="D28" s="926">
        <v>2024</v>
      </c>
      <c r="E28" s="926">
        <v>2025</v>
      </c>
      <c r="F28" s="926">
        <v>24000</v>
      </c>
      <c r="G28" s="917"/>
      <c r="H28" s="237" t="s">
        <v>68</v>
      </c>
      <c r="I28" s="238"/>
      <c r="J28" s="239"/>
      <c r="K28" s="239"/>
      <c r="L28" s="239"/>
      <c r="M28" s="239"/>
      <c r="N28" s="239"/>
      <c r="O28" s="240"/>
    </row>
    <row r="29" spans="2:15" ht="17.100000000000001" customHeight="1" x14ac:dyDescent="0.2">
      <c r="B29" s="921"/>
      <c r="C29" s="924"/>
      <c r="D29" s="927"/>
      <c r="E29" s="927"/>
      <c r="F29" s="927"/>
      <c r="G29" s="918"/>
      <c r="H29" s="241" t="s">
        <v>69</v>
      </c>
      <c r="I29" s="242"/>
      <c r="J29" s="243"/>
      <c r="K29" s="243"/>
      <c r="L29" s="243"/>
      <c r="M29" s="243"/>
      <c r="N29" s="243"/>
      <c r="O29" s="244"/>
    </row>
    <row r="30" spans="2:15" ht="17.100000000000001" customHeight="1" x14ac:dyDescent="0.2">
      <c r="B30" s="921"/>
      <c r="C30" s="924"/>
      <c r="D30" s="927"/>
      <c r="E30" s="927"/>
      <c r="F30" s="927"/>
      <c r="G30" s="918"/>
      <c r="H30" s="241" t="s">
        <v>355</v>
      </c>
      <c r="I30" s="242"/>
      <c r="J30" s="243"/>
      <c r="K30" s="243"/>
      <c r="L30" s="243"/>
      <c r="M30" s="243"/>
      <c r="N30" s="243"/>
      <c r="O30" s="244"/>
    </row>
    <row r="31" spans="2:15" ht="17.100000000000001" customHeight="1" thickBot="1" x14ac:dyDescent="0.25">
      <c r="B31" s="921"/>
      <c r="C31" s="924"/>
      <c r="D31" s="927"/>
      <c r="E31" s="927"/>
      <c r="F31" s="927"/>
      <c r="G31" s="918"/>
      <c r="H31" s="245" t="s">
        <v>23</v>
      </c>
      <c r="I31" s="246"/>
      <c r="J31" s="247"/>
      <c r="K31" s="247"/>
      <c r="L31" s="247"/>
      <c r="M31" s="247"/>
      <c r="N31" s="247"/>
      <c r="O31" s="248"/>
    </row>
    <row r="32" spans="2:15" ht="17.100000000000001" customHeight="1" thickBot="1" x14ac:dyDescent="0.25">
      <c r="B32" s="922"/>
      <c r="C32" s="925"/>
      <c r="D32" s="928"/>
      <c r="E32" s="928"/>
      <c r="F32" s="928"/>
      <c r="G32" s="919"/>
      <c r="H32" s="268" t="s">
        <v>249</v>
      </c>
      <c r="I32" s="269"/>
      <c r="J32" s="270"/>
      <c r="K32" s="270"/>
      <c r="L32" s="270"/>
      <c r="M32" s="270"/>
      <c r="N32" s="270"/>
      <c r="O32" s="271"/>
    </row>
    <row r="33" spans="2:15" ht="17.100000000000001" customHeight="1" x14ac:dyDescent="0.2">
      <c r="B33" s="920">
        <v>6</v>
      </c>
      <c r="C33" s="923" t="s">
        <v>1013</v>
      </c>
      <c r="D33" s="926">
        <v>2023</v>
      </c>
      <c r="E33" s="926">
        <v>2025</v>
      </c>
      <c r="F33" s="926">
        <f>SUM(G33,I35,N35,O35)</f>
        <v>272120</v>
      </c>
      <c r="G33" s="917">
        <f>SUM(13950,67500,750,93920)</f>
        <v>176120</v>
      </c>
      <c r="H33" s="237" t="s">
        <v>68</v>
      </c>
      <c r="I33" s="238"/>
      <c r="J33" s="239"/>
      <c r="K33" s="239"/>
      <c r="L33" s="239"/>
      <c r="M33" s="239"/>
      <c r="N33" s="239"/>
      <c r="O33" s="240"/>
    </row>
    <row r="34" spans="2:15" ht="17.100000000000001" customHeight="1" x14ac:dyDescent="0.2">
      <c r="B34" s="921"/>
      <c r="C34" s="924"/>
      <c r="D34" s="927"/>
      <c r="E34" s="927"/>
      <c r="F34" s="927"/>
      <c r="G34" s="918"/>
      <c r="H34" s="241" t="s">
        <v>69</v>
      </c>
      <c r="I34" s="242"/>
      <c r="J34" s="243"/>
      <c r="K34" s="243"/>
      <c r="L34" s="243"/>
      <c r="M34" s="243"/>
      <c r="N34" s="243"/>
      <c r="O34" s="244"/>
    </row>
    <row r="35" spans="2:15" ht="17.100000000000001" customHeight="1" x14ac:dyDescent="0.2">
      <c r="B35" s="921"/>
      <c r="C35" s="924"/>
      <c r="D35" s="927"/>
      <c r="E35" s="927"/>
      <c r="F35" s="927"/>
      <c r="G35" s="918"/>
      <c r="H35" s="241" t="s">
        <v>355</v>
      </c>
      <c r="I35" s="1025">
        <f>SUM(M35)</f>
        <v>96000</v>
      </c>
      <c r="J35" s="243">
        <v>9000</v>
      </c>
      <c r="K35" s="243">
        <v>47000</v>
      </c>
      <c r="L35" s="243">
        <v>73750</v>
      </c>
      <c r="M35" s="243">
        <v>96000</v>
      </c>
      <c r="N35" s="243"/>
      <c r="O35" s="244"/>
    </row>
    <row r="36" spans="2:15" ht="17.100000000000001" customHeight="1" thickBot="1" x14ac:dyDescent="0.25">
      <c r="B36" s="921"/>
      <c r="C36" s="924"/>
      <c r="D36" s="927"/>
      <c r="E36" s="927"/>
      <c r="F36" s="927"/>
      <c r="G36" s="918"/>
      <c r="H36" s="245" t="s">
        <v>23</v>
      </c>
      <c r="I36" s="246"/>
      <c r="J36" s="247"/>
      <c r="K36" s="247"/>
      <c r="L36" s="247"/>
      <c r="M36" s="247"/>
      <c r="N36" s="247"/>
      <c r="O36" s="248"/>
    </row>
    <row r="37" spans="2:15" ht="17.100000000000001" customHeight="1" thickBot="1" x14ac:dyDescent="0.25">
      <c r="B37" s="922"/>
      <c r="C37" s="925"/>
      <c r="D37" s="928"/>
      <c r="E37" s="928"/>
      <c r="F37" s="928"/>
      <c r="G37" s="919"/>
      <c r="H37" s="268" t="s">
        <v>249</v>
      </c>
      <c r="I37" s="269">
        <f>SUM(I33:I36)</f>
        <v>96000</v>
      </c>
      <c r="J37" s="269">
        <f t="shared" ref="J37:O37" si="3">SUM(J33:J36)</f>
        <v>9000</v>
      </c>
      <c r="K37" s="269">
        <f t="shared" si="3"/>
        <v>47000</v>
      </c>
      <c r="L37" s="269">
        <f t="shared" si="3"/>
        <v>73750</v>
      </c>
      <c r="M37" s="269">
        <f t="shared" si="3"/>
        <v>96000</v>
      </c>
      <c r="N37" s="269">
        <f t="shared" si="3"/>
        <v>0</v>
      </c>
      <c r="O37" s="618">
        <f t="shared" si="3"/>
        <v>0</v>
      </c>
    </row>
    <row r="38" spans="2:15" ht="17.100000000000001" customHeight="1" x14ac:dyDescent="0.2">
      <c r="B38" s="920">
        <v>7</v>
      </c>
      <c r="C38" s="923" t="s">
        <v>1014</v>
      </c>
      <c r="D38" s="926">
        <v>2023</v>
      </c>
      <c r="E38" s="926">
        <v>2025</v>
      </c>
      <c r="F38" s="926">
        <f>SUM(G38,I40)</f>
        <v>123515</v>
      </c>
      <c r="G38" s="917">
        <f>SUM(52629,244,7706,736)</f>
        <v>61315</v>
      </c>
      <c r="H38" s="237" t="s">
        <v>68</v>
      </c>
      <c r="I38" s="238"/>
      <c r="J38" s="239"/>
      <c r="K38" s="239"/>
      <c r="L38" s="239"/>
      <c r="M38" s="239"/>
      <c r="N38" s="239"/>
      <c r="O38" s="240"/>
    </row>
    <row r="39" spans="2:15" ht="17.100000000000001" customHeight="1" x14ac:dyDescent="0.2">
      <c r="B39" s="921"/>
      <c r="C39" s="924"/>
      <c r="D39" s="927"/>
      <c r="E39" s="927"/>
      <c r="F39" s="927"/>
      <c r="G39" s="918"/>
      <c r="H39" s="241" t="s">
        <v>69</v>
      </c>
      <c r="I39" s="242"/>
      <c r="J39" s="243"/>
      <c r="K39" s="243"/>
      <c r="L39" s="243"/>
      <c r="M39" s="243"/>
      <c r="N39" s="243"/>
      <c r="O39" s="244"/>
    </row>
    <row r="40" spans="2:15" ht="17.100000000000001" customHeight="1" x14ac:dyDescent="0.2">
      <c r="B40" s="921"/>
      <c r="C40" s="924"/>
      <c r="D40" s="927"/>
      <c r="E40" s="927"/>
      <c r="F40" s="927"/>
      <c r="G40" s="918"/>
      <c r="H40" s="241" t="s">
        <v>355</v>
      </c>
      <c r="I40" s="1025">
        <f>SUM(M40)</f>
        <v>62200</v>
      </c>
      <c r="J40" s="243">
        <v>1500</v>
      </c>
      <c r="K40" s="243">
        <v>32000</v>
      </c>
      <c r="L40" s="243">
        <v>32000</v>
      </c>
      <c r="M40" s="243">
        <v>62200</v>
      </c>
      <c r="N40" s="243"/>
      <c r="O40" s="244"/>
    </row>
    <row r="41" spans="2:15" ht="17.100000000000001" customHeight="1" thickBot="1" x14ac:dyDescent="0.25">
      <c r="B41" s="921"/>
      <c r="C41" s="924"/>
      <c r="D41" s="927"/>
      <c r="E41" s="927"/>
      <c r="F41" s="927"/>
      <c r="G41" s="918"/>
      <c r="H41" s="245" t="s">
        <v>23</v>
      </c>
      <c r="I41" s="246"/>
      <c r="J41" s="247"/>
      <c r="K41" s="247"/>
      <c r="L41" s="247"/>
      <c r="M41" s="247"/>
      <c r="N41" s="247"/>
      <c r="O41" s="248"/>
    </row>
    <row r="42" spans="2:15" ht="17.100000000000001" customHeight="1" thickBot="1" x14ac:dyDescent="0.25">
      <c r="B42" s="921"/>
      <c r="C42" s="924"/>
      <c r="D42" s="927"/>
      <c r="E42" s="927"/>
      <c r="F42" s="927"/>
      <c r="G42" s="918"/>
      <c r="H42" s="268" t="s">
        <v>249</v>
      </c>
      <c r="I42" s="269">
        <f>SUM(I38:I41)</f>
        <v>62200</v>
      </c>
      <c r="J42" s="269">
        <f t="shared" ref="J42:O42" si="4">SUM(J38:J41)</f>
        <v>1500</v>
      </c>
      <c r="K42" s="269">
        <f t="shared" si="4"/>
        <v>32000</v>
      </c>
      <c r="L42" s="269">
        <f t="shared" si="4"/>
        <v>32000</v>
      </c>
      <c r="M42" s="269">
        <f t="shared" si="4"/>
        <v>62200</v>
      </c>
      <c r="N42" s="269">
        <f t="shared" si="4"/>
        <v>0</v>
      </c>
      <c r="O42" s="618">
        <f t="shared" si="4"/>
        <v>0</v>
      </c>
    </row>
    <row r="43" spans="2:15" ht="17.100000000000001" customHeight="1" x14ac:dyDescent="0.2">
      <c r="B43" s="920">
        <v>8</v>
      </c>
      <c r="C43" s="923" t="s">
        <v>1027</v>
      </c>
      <c r="D43" s="926">
        <v>2023</v>
      </c>
      <c r="E43" s="926">
        <v>2025</v>
      </c>
      <c r="F43" s="926">
        <f>SUM(G43,I45)</f>
        <v>94859</v>
      </c>
      <c r="G43" s="917">
        <v>64859</v>
      </c>
      <c r="H43" s="237" t="s">
        <v>68</v>
      </c>
      <c r="I43" s="238"/>
      <c r="J43" s="239"/>
      <c r="K43" s="239"/>
      <c r="L43" s="239"/>
      <c r="M43" s="239"/>
      <c r="N43" s="239"/>
      <c r="O43" s="240"/>
    </row>
    <row r="44" spans="2:15" ht="17.100000000000001" customHeight="1" x14ac:dyDescent="0.2">
      <c r="B44" s="921"/>
      <c r="C44" s="924"/>
      <c r="D44" s="927"/>
      <c r="E44" s="927"/>
      <c r="F44" s="927"/>
      <c r="G44" s="918"/>
      <c r="H44" s="241" t="s">
        <v>69</v>
      </c>
      <c r="I44" s="242"/>
      <c r="J44" s="243"/>
      <c r="K44" s="243"/>
      <c r="L44" s="243"/>
      <c r="M44" s="243"/>
      <c r="N44" s="243"/>
      <c r="O44" s="244"/>
    </row>
    <row r="45" spans="2:15" ht="17.100000000000001" customHeight="1" x14ac:dyDescent="0.2">
      <c r="B45" s="921"/>
      <c r="C45" s="924"/>
      <c r="D45" s="927"/>
      <c r="E45" s="927"/>
      <c r="F45" s="927"/>
      <c r="G45" s="918"/>
      <c r="H45" s="241" t="s">
        <v>355</v>
      </c>
      <c r="I45" s="1025">
        <f>SUM(M45)</f>
        <v>30000</v>
      </c>
      <c r="J45" s="243"/>
      <c r="K45" s="243">
        <v>20000</v>
      </c>
      <c r="L45" s="243">
        <v>30000</v>
      </c>
      <c r="M45" s="243">
        <v>30000</v>
      </c>
      <c r="N45" s="243"/>
      <c r="O45" s="244"/>
    </row>
    <row r="46" spans="2:15" ht="17.100000000000001" customHeight="1" thickBot="1" x14ac:dyDescent="0.25">
      <c r="B46" s="921"/>
      <c r="C46" s="924"/>
      <c r="D46" s="927"/>
      <c r="E46" s="927"/>
      <c r="F46" s="927"/>
      <c r="G46" s="918"/>
      <c r="H46" s="245" t="s">
        <v>23</v>
      </c>
      <c r="I46" s="246"/>
      <c r="J46" s="247"/>
      <c r="K46" s="247"/>
      <c r="L46" s="247"/>
      <c r="M46" s="247"/>
      <c r="N46" s="247"/>
      <c r="O46" s="248"/>
    </row>
    <row r="47" spans="2:15" ht="17.100000000000001" customHeight="1" thickBot="1" x14ac:dyDescent="0.25">
      <c r="B47" s="922"/>
      <c r="C47" s="925"/>
      <c r="D47" s="928"/>
      <c r="E47" s="928"/>
      <c r="F47" s="928"/>
      <c r="G47" s="919"/>
      <c r="H47" s="268" t="s">
        <v>249</v>
      </c>
      <c r="I47" s="269">
        <f>SUM(I43:I46)</f>
        <v>30000</v>
      </c>
      <c r="J47" s="269">
        <f t="shared" ref="J47:O47" si="5">SUM(J43:J46)</f>
        <v>0</v>
      </c>
      <c r="K47" s="269">
        <f t="shared" si="5"/>
        <v>20000</v>
      </c>
      <c r="L47" s="269">
        <f t="shared" si="5"/>
        <v>30000</v>
      </c>
      <c r="M47" s="269">
        <f t="shared" si="5"/>
        <v>30000</v>
      </c>
      <c r="N47" s="269">
        <f t="shared" si="5"/>
        <v>0</v>
      </c>
      <c r="O47" s="618">
        <f t="shared" si="5"/>
        <v>0</v>
      </c>
    </row>
    <row r="48" spans="2:15" ht="17.100000000000001" customHeight="1" x14ac:dyDescent="0.2">
      <c r="B48" s="920">
        <v>9</v>
      </c>
      <c r="C48" s="923" t="s">
        <v>1028</v>
      </c>
      <c r="D48" s="926">
        <v>2024</v>
      </c>
      <c r="E48" s="926">
        <v>2024</v>
      </c>
      <c r="F48" s="926">
        <v>200000</v>
      </c>
      <c r="G48" s="917"/>
      <c r="H48" s="237" t="s">
        <v>68</v>
      </c>
      <c r="I48" s="238"/>
      <c r="J48" s="239"/>
      <c r="K48" s="239"/>
      <c r="L48" s="239"/>
      <c r="M48" s="239"/>
      <c r="N48" s="239"/>
      <c r="O48" s="240"/>
    </row>
    <row r="49" spans="2:15" ht="17.100000000000001" customHeight="1" x14ac:dyDescent="0.2">
      <c r="B49" s="921"/>
      <c r="C49" s="924"/>
      <c r="D49" s="927"/>
      <c r="E49" s="927"/>
      <c r="F49" s="927"/>
      <c r="G49" s="918"/>
      <c r="H49" s="241" t="s">
        <v>69</v>
      </c>
      <c r="I49" s="242"/>
      <c r="J49" s="243"/>
      <c r="K49" s="243"/>
      <c r="L49" s="243"/>
      <c r="M49" s="243"/>
      <c r="N49" s="243"/>
      <c r="O49" s="244"/>
    </row>
    <row r="50" spans="2:15" ht="17.100000000000001" customHeight="1" x14ac:dyDescent="0.2">
      <c r="B50" s="921"/>
      <c r="C50" s="924"/>
      <c r="D50" s="927"/>
      <c r="E50" s="927"/>
      <c r="F50" s="927"/>
      <c r="G50" s="918"/>
      <c r="H50" s="241" t="s">
        <v>355</v>
      </c>
      <c r="I50" s="242"/>
      <c r="J50" s="243"/>
      <c r="K50" s="243"/>
      <c r="L50" s="243"/>
      <c r="M50" s="243"/>
      <c r="N50" s="243"/>
      <c r="O50" s="244"/>
    </row>
    <row r="51" spans="2:15" ht="17.100000000000001" customHeight="1" thickBot="1" x14ac:dyDescent="0.25">
      <c r="B51" s="921"/>
      <c r="C51" s="924"/>
      <c r="D51" s="927"/>
      <c r="E51" s="927"/>
      <c r="F51" s="927"/>
      <c r="G51" s="918"/>
      <c r="H51" s="245" t="s">
        <v>23</v>
      </c>
      <c r="I51" s="246"/>
      <c r="J51" s="247"/>
      <c r="K51" s="247"/>
      <c r="L51" s="247"/>
      <c r="M51" s="247"/>
      <c r="N51" s="247"/>
      <c r="O51" s="248"/>
    </row>
    <row r="52" spans="2:15" ht="17.100000000000001" customHeight="1" thickBot="1" x14ac:dyDescent="0.25">
      <c r="B52" s="922"/>
      <c r="C52" s="925"/>
      <c r="D52" s="928"/>
      <c r="E52" s="928"/>
      <c r="F52" s="928"/>
      <c r="G52" s="919"/>
      <c r="H52" s="268" t="s">
        <v>249</v>
      </c>
      <c r="I52" s="269"/>
      <c r="J52" s="270"/>
      <c r="K52" s="270"/>
      <c r="L52" s="270"/>
      <c r="M52" s="270"/>
      <c r="N52" s="270"/>
      <c r="O52" s="271"/>
    </row>
    <row r="53" spans="2:15" ht="17.100000000000001" customHeight="1" x14ac:dyDescent="0.2">
      <c r="B53" s="920">
        <v>10</v>
      </c>
      <c r="C53" s="923" t="s">
        <v>1029</v>
      </c>
      <c r="D53" s="926">
        <v>2024</v>
      </c>
      <c r="E53" s="926">
        <v>2024</v>
      </c>
      <c r="F53" s="926">
        <v>20000</v>
      </c>
      <c r="G53" s="917"/>
      <c r="H53" s="237" t="s">
        <v>68</v>
      </c>
      <c r="I53" s="238"/>
      <c r="J53" s="239"/>
      <c r="K53" s="239"/>
      <c r="L53" s="239"/>
      <c r="M53" s="239"/>
      <c r="N53" s="239"/>
      <c r="O53" s="240"/>
    </row>
    <row r="54" spans="2:15" ht="17.100000000000001" customHeight="1" x14ac:dyDescent="0.2">
      <c r="B54" s="921"/>
      <c r="C54" s="924"/>
      <c r="D54" s="927"/>
      <c r="E54" s="927"/>
      <c r="F54" s="927"/>
      <c r="G54" s="918"/>
      <c r="H54" s="241" t="s">
        <v>69</v>
      </c>
      <c r="I54" s="242"/>
      <c r="J54" s="243"/>
      <c r="K54" s="243"/>
      <c r="L54" s="243"/>
      <c r="M54" s="243"/>
      <c r="N54" s="243"/>
      <c r="O54" s="244"/>
    </row>
    <row r="55" spans="2:15" ht="17.100000000000001" customHeight="1" x14ac:dyDescent="0.2">
      <c r="B55" s="921"/>
      <c r="C55" s="924"/>
      <c r="D55" s="927"/>
      <c r="E55" s="927"/>
      <c r="F55" s="927"/>
      <c r="G55" s="918"/>
      <c r="H55" s="241" t="s">
        <v>355</v>
      </c>
      <c r="I55" s="242"/>
      <c r="J55" s="243"/>
      <c r="K55" s="243"/>
      <c r="L55" s="243"/>
      <c r="M55" s="243"/>
      <c r="N55" s="243"/>
      <c r="O55" s="244"/>
    </row>
    <row r="56" spans="2:15" ht="17.100000000000001" customHeight="1" thickBot="1" x14ac:dyDescent="0.25">
      <c r="B56" s="921"/>
      <c r="C56" s="924"/>
      <c r="D56" s="927"/>
      <c r="E56" s="927"/>
      <c r="F56" s="927"/>
      <c r="G56" s="918"/>
      <c r="H56" s="245" t="s">
        <v>23</v>
      </c>
      <c r="I56" s="246"/>
      <c r="J56" s="247"/>
      <c r="K56" s="247"/>
      <c r="L56" s="247"/>
      <c r="M56" s="247"/>
      <c r="N56" s="247"/>
      <c r="O56" s="248"/>
    </row>
    <row r="57" spans="2:15" ht="17.100000000000001" customHeight="1" thickBot="1" x14ac:dyDescent="0.25">
      <c r="B57" s="922"/>
      <c r="C57" s="925"/>
      <c r="D57" s="928"/>
      <c r="E57" s="928"/>
      <c r="F57" s="928"/>
      <c r="G57" s="919"/>
      <c r="H57" s="268" t="s">
        <v>249</v>
      </c>
      <c r="I57" s="269"/>
      <c r="J57" s="270"/>
      <c r="K57" s="270"/>
      <c r="L57" s="270"/>
      <c r="M57" s="270"/>
      <c r="N57" s="270"/>
      <c r="O57" s="271"/>
    </row>
    <row r="58" spans="2:15" ht="17.100000000000001" customHeight="1" x14ac:dyDescent="0.2">
      <c r="B58" s="920">
        <v>11</v>
      </c>
      <c r="C58" s="923" t="s">
        <v>1022</v>
      </c>
      <c r="D58" s="926">
        <v>2024</v>
      </c>
      <c r="E58" s="926">
        <v>2024</v>
      </c>
      <c r="F58" s="926">
        <v>5000</v>
      </c>
      <c r="G58" s="917"/>
      <c r="H58" s="252" t="s">
        <v>68</v>
      </c>
      <c r="I58" s="253"/>
      <c r="J58" s="254"/>
      <c r="K58" s="254"/>
      <c r="L58" s="254"/>
      <c r="M58" s="254"/>
      <c r="N58" s="254"/>
      <c r="O58" s="255"/>
    </row>
    <row r="59" spans="2:15" ht="17.100000000000001" customHeight="1" x14ac:dyDescent="0.2">
      <c r="B59" s="921"/>
      <c r="C59" s="924"/>
      <c r="D59" s="927"/>
      <c r="E59" s="927"/>
      <c r="F59" s="927"/>
      <c r="G59" s="918"/>
      <c r="H59" s="241" t="s">
        <v>69</v>
      </c>
      <c r="I59" s="242"/>
      <c r="J59" s="243"/>
      <c r="K59" s="243"/>
      <c r="L59" s="243"/>
      <c r="M59" s="243"/>
      <c r="N59" s="243"/>
      <c r="O59" s="244"/>
    </row>
    <row r="60" spans="2:15" ht="17.100000000000001" customHeight="1" x14ac:dyDescent="0.2">
      <c r="B60" s="921"/>
      <c r="C60" s="924"/>
      <c r="D60" s="927"/>
      <c r="E60" s="927"/>
      <c r="F60" s="927"/>
      <c r="G60" s="918"/>
      <c r="H60" s="241" t="s">
        <v>355</v>
      </c>
      <c r="I60" s="242"/>
      <c r="J60" s="243"/>
      <c r="K60" s="243"/>
      <c r="L60" s="243"/>
      <c r="M60" s="243"/>
      <c r="N60" s="243"/>
      <c r="O60" s="244"/>
    </row>
    <row r="61" spans="2:15" ht="17.100000000000001" customHeight="1" thickBot="1" x14ac:dyDescent="0.25">
      <c r="B61" s="921"/>
      <c r="C61" s="924"/>
      <c r="D61" s="927"/>
      <c r="E61" s="927"/>
      <c r="F61" s="927"/>
      <c r="G61" s="918"/>
      <c r="H61" s="245" t="s">
        <v>23</v>
      </c>
      <c r="I61" s="246"/>
      <c r="J61" s="247"/>
      <c r="K61" s="247"/>
      <c r="L61" s="247"/>
      <c r="M61" s="247"/>
      <c r="N61" s="247"/>
      <c r="O61" s="248"/>
    </row>
    <row r="62" spans="2:15" ht="17.100000000000001" customHeight="1" thickBot="1" x14ac:dyDescent="0.25">
      <c r="B62" s="922"/>
      <c r="C62" s="925"/>
      <c r="D62" s="928"/>
      <c r="E62" s="928"/>
      <c r="F62" s="928"/>
      <c r="G62" s="919"/>
      <c r="H62" s="268" t="s">
        <v>249</v>
      </c>
      <c r="I62" s="272"/>
      <c r="J62" s="273"/>
      <c r="K62" s="273"/>
      <c r="L62" s="270"/>
      <c r="M62" s="270"/>
      <c r="N62" s="270"/>
      <c r="O62" s="271"/>
    </row>
    <row r="63" spans="2:15" ht="17.100000000000001" customHeight="1" x14ac:dyDescent="0.2">
      <c r="B63" s="920">
        <v>12</v>
      </c>
      <c r="C63" s="923" t="s">
        <v>1030</v>
      </c>
      <c r="D63" s="926">
        <v>2024</v>
      </c>
      <c r="E63" s="926">
        <v>2025</v>
      </c>
      <c r="F63" s="926">
        <f>SUM(40000,4000)</f>
        <v>44000</v>
      </c>
      <c r="G63" s="917"/>
      <c r="H63" s="237" t="s">
        <v>68</v>
      </c>
      <c r="I63" s="238"/>
      <c r="J63" s="239"/>
      <c r="K63" s="239"/>
      <c r="L63" s="239"/>
      <c r="M63" s="239"/>
      <c r="N63" s="239"/>
      <c r="O63" s="240"/>
    </row>
    <row r="64" spans="2:15" ht="17.100000000000001" customHeight="1" x14ac:dyDescent="0.2">
      <c r="B64" s="921"/>
      <c r="C64" s="924"/>
      <c r="D64" s="927"/>
      <c r="E64" s="927"/>
      <c r="F64" s="927"/>
      <c r="G64" s="918"/>
      <c r="H64" s="241" t="s">
        <v>69</v>
      </c>
      <c r="I64" s="242"/>
      <c r="J64" s="243"/>
      <c r="K64" s="243"/>
      <c r="L64" s="243"/>
      <c r="M64" s="243"/>
      <c r="N64" s="243"/>
      <c r="O64" s="244"/>
    </row>
    <row r="65" spans="2:15" ht="17.100000000000001" customHeight="1" x14ac:dyDescent="0.2">
      <c r="B65" s="921"/>
      <c r="C65" s="924"/>
      <c r="D65" s="927"/>
      <c r="E65" s="927"/>
      <c r="F65" s="927"/>
      <c r="G65" s="918"/>
      <c r="H65" s="241" t="s">
        <v>355</v>
      </c>
      <c r="I65" s="1025">
        <f>SUM(M65)</f>
        <v>4000</v>
      </c>
      <c r="J65" s="243"/>
      <c r="K65" s="243">
        <v>4000</v>
      </c>
      <c r="L65" s="243">
        <v>4000</v>
      </c>
      <c r="M65" s="243">
        <v>4000</v>
      </c>
      <c r="N65" s="243"/>
      <c r="O65" s="244"/>
    </row>
    <row r="66" spans="2:15" ht="17.100000000000001" customHeight="1" thickBot="1" x14ac:dyDescent="0.25">
      <c r="B66" s="921"/>
      <c r="C66" s="924"/>
      <c r="D66" s="927"/>
      <c r="E66" s="927"/>
      <c r="F66" s="927"/>
      <c r="G66" s="918"/>
      <c r="H66" s="256" t="s">
        <v>23</v>
      </c>
      <c r="I66" s="249"/>
      <c r="J66" s="250"/>
      <c r="K66" s="250"/>
      <c r="L66" s="250"/>
      <c r="M66" s="250"/>
      <c r="N66" s="250"/>
      <c r="O66" s="251"/>
    </row>
    <row r="67" spans="2:15" ht="17.100000000000001" customHeight="1" thickBot="1" x14ac:dyDescent="0.25">
      <c r="B67" s="922"/>
      <c r="C67" s="925"/>
      <c r="D67" s="928"/>
      <c r="E67" s="928"/>
      <c r="F67" s="928"/>
      <c r="G67" s="919"/>
      <c r="H67" s="268" t="s">
        <v>249</v>
      </c>
      <c r="I67" s="272">
        <f>SUM(I63:I66)</f>
        <v>4000</v>
      </c>
      <c r="J67" s="272">
        <f>SUM(J63:J66)</f>
        <v>0</v>
      </c>
      <c r="K67" s="272">
        <f>SUM(K63:K66)</f>
        <v>4000</v>
      </c>
      <c r="L67" s="272">
        <f>SUM(L63:L66)</f>
        <v>4000</v>
      </c>
      <c r="M67" s="272">
        <f>SUM(M63:M66)</f>
        <v>4000</v>
      </c>
      <c r="N67" s="270"/>
      <c r="O67" s="271"/>
    </row>
    <row r="68" spans="2:15" ht="17.100000000000001" customHeight="1" x14ac:dyDescent="0.2">
      <c r="B68" s="920">
        <v>13</v>
      </c>
      <c r="C68" s="923" t="s">
        <v>1031</v>
      </c>
      <c r="D68" s="926">
        <v>2024</v>
      </c>
      <c r="E68" s="926">
        <v>2025</v>
      </c>
      <c r="F68" s="926">
        <f>SUM(G68,I69,17494)</f>
        <v>25000</v>
      </c>
      <c r="G68" s="917">
        <v>2506</v>
      </c>
      <c r="H68" s="237" t="s">
        <v>68</v>
      </c>
      <c r="I68" s="238"/>
      <c r="J68" s="239"/>
      <c r="K68" s="239"/>
      <c r="L68" s="239"/>
      <c r="M68" s="239"/>
      <c r="N68" s="239"/>
      <c r="O68" s="240"/>
    </row>
    <row r="69" spans="2:15" ht="17.100000000000001" customHeight="1" x14ac:dyDescent="0.2">
      <c r="B69" s="921"/>
      <c r="C69" s="924"/>
      <c r="D69" s="927"/>
      <c r="E69" s="927"/>
      <c r="F69" s="927"/>
      <c r="G69" s="918"/>
      <c r="H69" s="241" t="s">
        <v>69</v>
      </c>
      <c r="I69" s="1025">
        <f>SUM(M69)</f>
        <v>5000</v>
      </c>
      <c r="J69" s="243"/>
      <c r="K69" s="243">
        <v>5000</v>
      </c>
      <c r="L69" s="243">
        <v>5000</v>
      </c>
      <c r="M69" s="243">
        <v>5000</v>
      </c>
      <c r="N69" s="243"/>
      <c r="O69" s="244"/>
    </row>
    <row r="70" spans="2:15" ht="17.100000000000001" customHeight="1" x14ac:dyDescent="0.2">
      <c r="B70" s="921"/>
      <c r="C70" s="924"/>
      <c r="D70" s="927"/>
      <c r="E70" s="927"/>
      <c r="F70" s="927"/>
      <c r="G70" s="918"/>
      <c r="H70" s="241" t="s">
        <v>355</v>
      </c>
      <c r="I70" s="242"/>
      <c r="J70" s="243"/>
      <c r="K70" s="243"/>
      <c r="L70" s="243"/>
      <c r="M70" s="243"/>
      <c r="N70" s="243"/>
      <c r="O70" s="244"/>
    </row>
    <row r="71" spans="2:15" ht="17.100000000000001" customHeight="1" thickBot="1" x14ac:dyDescent="0.25">
      <c r="B71" s="921"/>
      <c r="C71" s="924"/>
      <c r="D71" s="927"/>
      <c r="E71" s="927"/>
      <c r="F71" s="927"/>
      <c r="G71" s="918"/>
      <c r="H71" s="256" t="s">
        <v>23</v>
      </c>
      <c r="I71" s="249"/>
      <c r="J71" s="250"/>
      <c r="K71" s="250"/>
      <c r="L71" s="250"/>
      <c r="M71" s="250"/>
      <c r="N71" s="250"/>
      <c r="O71" s="251"/>
    </row>
    <row r="72" spans="2:15" ht="17.100000000000001" customHeight="1" thickBot="1" x14ac:dyDescent="0.25">
      <c r="B72" s="922"/>
      <c r="C72" s="925"/>
      <c r="D72" s="928"/>
      <c r="E72" s="928"/>
      <c r="F72" s="928"/>
      <c r="G72" s="919"/>
      <c r="H72" s="268" t="s">
        <v>249</v>
      </c>
      <c r="I72" s="272">
        <f>SUM(I68:I71)</f>
        <v>5000</v>
      </c>
      <c r="J72" s="272">
        <f t="shared" ref="J72:O72" si="6">SUM(J68:J71)</f>
        <v>0</v>
      </c>
      <c r="K72" s="272">
        <f t="shared" si="6"/>
        <v>5000</v>
      </c>
      <c r="L72" s="272">
        <f t="shared" si="6"/>
        <v>5000</v>
      </c>
      <c r="M72" s="272">
        <f t="shared" si="6"/>
        <v>5000</v>
      </c>
      <c r="N72" s="272">
        <f t="shared" si="6"/>
        <v>0</v>
      </c>
      <c r="O72" s="619">
        <f t="shared" si="6"/>
        <v>0</v>
      </c>
    </row>
    <row r="73" spans="2:15" ht="17.100000000000001" customHeight="1" x14ac:dyDescent="0.2">
      <c r="B73" s="920">
        <v>14</v>
      </c>
      <c r="C73" s="923" t="s">
        <v>1044</v>
      </c>
      <c r="D73" s="661"/>
      <c r="E73" s="661"/>
      <c r="F73" s="661"/>
      <c r="G73" s="660"/>
      <c r="H73" s="237" t="s">
        <v>68</v>
      </c>
      <c r="I73" s="238"/>
      <c r="J73" s="239"/>
      <c r="K73" s="239"/>
      <c r="L73" s="239"/>
      <c r="M73" s="239"/>
      <c r="N73" s="239"/>
      <c r="O73" s="240"/>
    </row>
    <row r="74" spans="2:15" ht="17.100000000000001" customHeight="1" x14ac:dyDescent="0.2">
      <c r="B74" s="921"/>
      <c r="C74" s="924"/>
      <c r="D74" s="661"/>
      <c r="E74" s="661"/>
      <c r="F74" s="661"/>
      <c r="G74" s="660"/>
      <c r="H74" s="241" t="s">
        <v>69</v>
      </c>
      <c r="I74" s="1025">
        <v>3000</v>
      </c>
      <c r="J74" s="243"/>
      <c r="K74" s="243"/>
      <c r="L74" s="243"/>
      <c r="M74" s="243">
        <v>3000</v>
      </c>
      <c r="N74" s="243"/>
      <c r="O74" s="244"/>
    </row>
    <row r="75" spans="2:15" ht="17.100000000000001" customHeight="1" x14ac:dyDescent="0.2">
      <c r="B75" s="921"/>
      <c r="C75" s="924"/>
      <c r="D75" s="661">
        <v>2025</v>
      </c>
      <c r="E75" s="661">
        <v>2025</v>
      </c>
      <c r="F75" s="661">
        <v>3000</v>
      </c>
      <c r="G75" s="660"/>
      <c r="H75" s="241" t="s">
        <v>355</v>
      </c>
      <c r="I75" s="242"/>
      <c r="J75" s="243"/>
      <c r="K75" s="243"/>
      <c r="L75" s="243"/>
      <c r="M75" s="243"/>
      <c r="N75" s="243"/>
      <c r="O75" s="244"/>
    </row>
    <row r="76" spans="2:15" ht="17.100000000000001" customHeight="1" thickBot="1" x14ac:dyDescent="0.25">
      <c r="B76" s="921"/>
      <c r="C76" s="924"/>
      <c r="D76" s="661"/>
      <c r="E76" s="661"/>
      <c r="F76" s="661"/>
      <c r="G76" s="660"/>
      <c r="H76" s="256" t="s">
        <v>23</v>
      </c>
      <c r="I76" s="249"/>
      <c r="J76" s="250"/>
      <c r="K76" s="250"/>
      <c r="L76" s="250"/>
      <c r="M76" s="250"/>
      <c r="N76" s="250"/>
      <c r="O76" s="251"/>
    </row>
    <row r="77" spans="2:15" ht="17.100000000000001" customHeight="1" thickBot="1" x14ac:dyDescent="0.25">
      <c r="B77" s="922"/>
      <c r="C77" s="925"/>
      <c r="D77" s="661"/>
      <c r="E77" s="661"/>
      <c r="F77" s="661"/>
      <c r="G77" s="660"/>
      <c r="H77" s="268" t="s">
        <v>249</v>
      </c>
      <c r="I77" s="272">
        <f>SUM(I73:I76)</f>
        <v>3000</v>
      </c>
      <c r="J77" s="272">
        <f t="shared" ref="J77:O77" si="7">SUM(J73:J76)</f>
        <v>0</v>
      </c>
      <c r="K77" s="272">
        <f t="shared" si="7"/>
        <v>0</v>
      </c>
      <c r="L77" s="272">
        <f t="shared" si="7"/>
        <v>0</v>
      </c>
      <c r="M77" s="272">
        <f t="shared" si="7"/>
        <v>3000</v>
      </c>
      <c r="N77" s="272">
        <f t="shared" si="7"/>
        <v>0</v>
      </c>
      <c r="O77" s="619">
        <f t="shared" si="7"/>
        <v>0</v>
      </c>
    </row>
    <row r="78" spans="2:15" ht="17.100000000000001" customHeight="1" x14ac:dyDescent="0.2">
      <c r="B78" s="920">
        <v>14</v>
      </c>
      <c r="C78" s="923" t="s">
        <v>1032</v>
      </c>
      <c r="D78" s="926">
        <v>2025</v>
      </c>
      <c r="E78" s="926">
        <v>2025</v>
      </c>
      <c r="F78" s="926">
        <v>20000</v>
      </c>
      <c r="G78" s="917"/>
      <c r="H78" s="237" t="s">
        <v>68</v>
      </c>
      <c r="I78" s="238"/>
      <c r="J78" s="239"/>
      <c r="K78" s="239"/>
      <c r="L78" s="239"/>
      <c r="M78" s="239"/>
      <c r="N78" s="239"/>
      <c r="O78" s="240"/>
    </row>
    <row r="79" spans="2:15" ht="17.100000000000001" customHeight="1" x14ac:dyDescent="0.2">
      <c r="B79" s="921"/>
      <c r="C79" s="924"/>
      <c r="D79" s="927"/>
      <c r="E79" s="927"/>
      <c r="F79" s="927"/>
      <c r="G79" s="918"/>
      <c r="H79" s="241" t="s">
        <v>69</v>
      </c>
      <c r="I79" s="242"/>
      <c r="J79" s="243"/>
      <c r="K79" s="243"/>
      <c r="L79" s="243"/>
      <c r="M79" s="243"/>
      <c r="N79" s="243"/>
      <c r="O79" s="244"/>
    </row>
    <row r="80" spans="2:15" ht="17.100000000000001" customHeight="1" x14ac:dyDescent="0.2">
      <c r="B80" s="921"/>
      <c r="C80" s="924"/>
      <c r="D80" s="927"/>
      <c r="E80" s="927"/>
      <c r="F80" s="927"/>
      <c r="G80" s="918"/>
      <c r="H80" s="241" t="s">
        <v>355</v>
      </c>
      <c r="I80" s="1025">
        <f>SUM(M80)</f>
        <v>20000</v>
      </c>
      <c r="J80" s="243"/>
      <c r="K80" s="243">
        <v>20000</v>
      </c>
      <c r="L80" s="243">
        <v>20000</v>
      </c>
      <c r="M80" s="243">
        <v>20000</v>
      </c>
      <c r="N80" s="243"/>
      <c r="O80" s="244"/>
    </row>
    <row r="81" spans="1:256" ht="17.100000000000001" customHeight="1" thickBot="1" x14ac:dyDescent="0.25">
      <c r="B81" s="921"/>
      <c r="C81" s="924"/>
      <c r="D81" s="927"/>
      <c r="E81" s="927"/>
      <c r="F81" s="927"/>
      <c r="G81" s="918"/>
      <c r="H81" s="256" t="s">
        <v>23</v>
      </c>
      <c r="I81" s="249"/>
      <c r="J81" s="250"/>
      <c r="K81" s="250"/>
      <c r="L81" s="250"/>
      <c r="M81" s="250"/>
      <c r="N81" s="250"/>
      <c r="O81" s="251"/>
    </row>
    <row r="82" spans="1:256" ht="17.100000000000001" customHeight="1" thickBot="1" x14ac:dyDescent="0.25">
      <c r="B82" s="922"/>
      <c r="C82" s="925"/>
      <c r="D82" s="928"/>
      <c r="E82" s="928"/>
      <c r="F82" s="928"/>
      <c r="G82" s="919"/>
      <c r="H82" s="268" t="s">
        <v>249</v>
      </c>
      <c r="I82" s="272">
        <f>SUM(I78:I81)</f>
        <v>20000</v>
      </c>
      <c r="J82" s="273"/>
      <c r="K82" s="273"/>
      <c r="L82" s="270"/>
      <c r="M82" s="270"/>
      <c r="N82" s="270"/>
      <c r="O82" s="271"/>
    </row>
    <row r="83" spans="1:256" ht="17.100000000000001" customHeight="1" x14ac:dyDescent="0.2">
      <c r="B83" s="920">
        <v>15</v>
      </c>
      <c r="C83" s="923" t="s">
        <v>1033</v>
      </c>
      <c r="D83" s="926">
        <v>2024</v>
      </c>
      <c r="E83" s="926">
        <v>2024</v>
      </c>
      <c r="F83" s="926">
        <v>35316</v>
      </c>
      <c r="G83" s="917"/>
      <c r="H83" s="252" t="s">
        <v>68</v>
      </c>
      <c r="I83" s="253"/>
      <c r="J83" s="254"/>
      <c r="K83" s="254"/>
      <c r="L83" s="254"/>
      <c r="M83" s="254"/>
      <c r="N83" s="254"/>
      <c r="O83" s="255"/>
    </row>
    <row r="84" spans="1:256" ht="17.100000000000001" customHeight="1" x14ac:dyDescent="0.2">
      <c r="B84" s="921"/>
      <c r="C84" s="924"/>
      <c r="D84" s="927"/>
      <c r="E84" s="927"/>
      <c r="F84" s="927"/>
      <c r="G84" s="918"/>
      <c r="H84" s="241" t="s">
        <v>69</v>
      </c>
      <c r="I84" s="242"/>
      <c r="J84" s="243"/>
      <c r="K84" s="243"/>
      <c r="L84" s="243"/>
      <c r="M84" s="243"/>
      <c r="N84" s="243"/>
      <c r="O84" s="244"/>
    </row>
    <row r="85" spans="1:256" ht="17.100000000000001" customHeight="1" x14ac:dyDescent="0.2">
      <c r="B85" s="921"/>
      <c r="C85" s="924"/>
      <c r="D85" s="927"/>
      <c r="E85" s="927"/>
      <c r="F85" s="927"/>
      <c r="G85" s="918"/>
      <c r="H85" s="257" t="s">
        <v>355</v>
      </c>
      <c r="I85" s="258"/>
      <c r="J85" s="259"/>
      <c r="K85" s="259"/>
      <c r="L85" s="259"/>
      <c r="M85" s="259"/>
      <c r="N85" s="259"/>
      <c r="O85" s="260"/>
    </row>
    <row r="86" spans="1:256" ht="17.100000000000001" customHeight="1" thickBot="1" x14ac:dyDescent="0.25">
      <c r="B86" s="921"/>
      <c r="C86" s="924"/>
      <c r="D86" s="927"/>
      <c r="E86" s="927"/>
      <c r="F86" s="927"/>
      <c r="G86" s="918"/>
      <c r="H86" s="245" t="s">
        <v>23</v>
      </c>
      <c r="I86" s="246"/>
      <c r="J86" s="247"/>
      <c r="K86" s="247"/>
      <c r="L86" s="247"/>
      <c r="M86" s="247"/>
      <c r="N86" s="247"/>
      <c r="O86" s="248"/>
    </row>
    <row r="87" spans="1:256" ht="17.100000000000001" customHeight="1" thickBot="1" x14ac:dyDescent="0.25">
      <c r="B87" s="922"/>
      <c r="C87" s="925"/>
      <c r="D87" s="928"/>
      <c r="E87" s="928"/>
      <c r="F87" s="928"/>
      <c r="G87" s="919"/>
      <c r="H87" s="268" t="s">
        <v>249</v>
      </c>
      <c r="I87" s="272"/>
      <c r="J87" s="273"/>
      <c r="K87" s="273"/>
      <c r="L87" s="270"/>
      <c r="M87" s="270"/>
      <c r="N87" s="270"/>
      <c r="O87" s="271"/>
    </row>
    <row r="88" spans="1:256" ht="17.100000000000001" customHeight="1" x14ac:dyDescent="0.2">
      <c r="A88" s="9"/>
      <c r="B88" s="920">
        <v>16</v>
      </c>
      <c r="C88" s="923" t="s">
        <v>1024</v>
      </c>
      <c r="D88" s="926">
        <v>2024</v>
      </c>
      <c r="E88" s="926">
        <v>2024</v>
      </c>
      <c r="F88" s="926">
        <v>5000</v>
      </c>
      <c r="G88" s="917"/>
      <c r="H88" s="237" t="s">
        <v>68</v>
      </c>
      <c r="I88" s="238"/>
      <c r="J88" s="239"/>
      <c r="K88" s="239"/>
      <c r="L88" s="239"/>
      <c r="M88" s="239"/>
      <c r="N88" s="239"/>
      <c r="O88" s="240"/>
    </row>
    <row r="89" spans="1:256" ht="17.100000000000001" customHeight="1" x14ac:dyDescent="0.2">
      <c r="A89" s="9"/>
      <c r="B89" s="921"/>
      <c r="C89" s="924"/>
      <c r="D89" s="927"/>
      <c r="E89" s="927"/>
      <c r="F89" s="927"/>
      <c r="G89" s="918"/>
      <c r="H89" s="241" t="s">
        <v>69</v>
      </c>
      <c r="I89" s="242"/>
      <c r="J89" s="243"/>
      <c r="K89" s="243"/>
      <c r="L89" s="243"/>
      <c r="M89" s="243"/>
      <c r="N89" s="243"/>
      <c r="O89" s="244"/>
    </row>
    <row r="90" spans="1:256" ht="17.100000000000001" customHeight="1" x14ac:dyDescent="0.2">
      <c r="A90" s="9"/>
      <c r="B90" s="921"/>
      <c r="C90" s="924"/>
      <c r="D90" s="927"/>
      <c r="E90" s="927"/>
      <c r="F90" s="927"/>
      <c r="G90" s="918"/>
      <c r="H90" s="241" t="s">
        <v>355</v>
      </c>
      <c r="I90" s="242"/>
      <c r="J90" s="243"/>
      <c r="K90" s="243"/>
      <c r="L90" s="261"/>
      <c r="M90" s="243"/>
      <c r="N90" s="261"/>
      <c r="O90" s="244"/>
    </row>
    <row r="91" spans="1:256" ht="17.100000000000001" customHeight="1" thickBot="1" x14ac:dyDescent="0.25">
      <c r="A91" s="9"/>
      <c r="B91" s="921"/>
      <c r="C91" s="924"/>
      <c r="D91" s="927"/>
      <c r="E91" s="927"/>
      <c r="F91" s="927"/>
      <c r="G91" s="918"/>
      <c r="H91" s="262" t="s">
        <v>23</v>
      </c>
      <c r="I91" s="263"/>
      <c r="J91" s="247"/>
      <c r="K91" s="247"/>
      <c r="L91" s="247"/>
      <c r="M91" s="247"/>
      <c r="N91" s="264"/>
      <c r="O91" s="248"/>
    </row>
    <row r="92" spans="1:256" s="79" customFormat="1" ht="17.100000000000001" customHeight="1" thickBot="1" x14ac:dyDescent="0.25">
      <c r="A92" s="9"/>
      <c r="B92" s="922"/>
      <c r="C92" s="925"/>
      <c r="D92" s="928"/>
      <c r="E92" s="928"/>
      <c r="F92" s="928"/>
      <c r="G92" s="919"/>
      <c r="H92" s="274" t="s">
        <v>249</v>
      </c>
      <c r="I92" s="272"/>
      <c r="J92" s="273"/>
      <c r="K92" s="273"/>
      <c r="L92" s="270"/>
      <c r="M92" s="270"/>
      <c r="N92" s="275"/>
      <c r="O92" s="276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s="79" customFormat="1" ht="38.25" customHeight="1" thickBot="1" x14ac:dyDescent="0.3">
      <c r="A93" s="9"/>
      <c r="B93" s="929" t="s">
        <v>387</v>
      </c>
      <c r="C93" s="930"/>
      <c r="D93" s="930"/>
      <c r="E93" s="930"/>
      <c r="F93" s="625">
        <f>SUM(F8:F92)</f>
        <v>1598516</v>
      </c>
      <c r="G93" s="625">
        <f>SUM(G8:G92)</f>
        <v>508524</v>
      </c>
      <c r="H93" s="626"/>
      <c r="I93" s="627">
        <f>SUM(I12,I17,I22,I37,I42,I47,I67,I72,I77,I82)</f>
        <v>361861</v>
      </c>
      <c r="J93" s="627">
        <f t="shared" ref="J93:O93" si="8">SUM(J12,J17,J22,J37,J42,J47,J67,J72,J77,J82)</f>
        <v>31480</v>
      </c>
      <c r="K93" s="627">
        <f t="shared" si="8"/>
        <v>180311</v>
      </c>
      <c r="L93" s="627">
        <f t="shared" si="8"/>
        <v>286411</v>
      </c>
      <c r="M93" s="627">
        <f t="shared" si="8"/>
        <v>341861</v>
      </c>
      <c r="N93" s="627">
        <f t="shared" si="8"/>
        <v>166680</v>
      </c>
      <c r="O93" s="627">
        <f t="shared" si="8"/>
        <v>166680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s="79" customFormat="1" ht="24.95" customHeight="1" x14ac:dyDescent="0.25">
      <c r="A94" s="5"/>
      <c r="B94" s="234"/>
      <c r="C94" s="234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s="79" customFormat="1" ht="24.9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s="79" customFormat="1" ht="24.9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s="79" customFormat="1" ht="24.9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s="79" customFormat="1" ht="24.9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s="79" customFormat="1" ht="24.9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s="79" customFormat="1" ht="24.9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s="79" customFormat="1" ht="24.9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ht="20.100000000000001" customHeight="1" x14ac:dyDescent="0.2"/>
    <row r="103" spans="1:256" ht="20.100000000000001" customHeight="1" x14ac:dyDescent="0.2"/>
    <row r="104" spans="1:256" ht="20.100000000000001" customHeight="1" x14ac:dyDescent="0.2"/>
  </sheetData>
  <mergeCells count="111">
    <mergeCell ref="G68:G72"/>
    <mergeCell ref="B78:B82"/>
    <mergeCell ref="C78:C82"/>
    <mergeCell ref="D78:D82"/>
    <mergeCell ref="E78:E82"/>
    <mergeCell ref="F78:F82"/>
    <mergeCell ref="G78:G82"/>
    <mergeCell ref="B68:B72"/>
    <mergeCell ref="C68:C72"/>
    <mergeCell ref="D68:D72"/>
    <mergeCell ref="E68:E72"/>
    <mergeCell ref="F68:F72"/>
    <mergeCell ref="B73:B77"/>
    <mergeCell ref="C73:C77"/>
    <mergeCell ref="B38:B42"/>
    <mergeCell ref="C38:C42"/>
    <mergeCell ref="D38:D42"/>
    <mergeCell ref="E38:E42"/>
    <mergeCell ref="F38:F42"/>
    <mergeCell ref="G38:G42"/>
    <mergeCell ref="G43:G47"/>
    <mergeCell ref="B48:B52"/>
    <mergeCell ref="C48:C52"/>
    <mergeCell ref="D48:D52"/>
    <mergeCell ref="E48:E52"/>
    <mergeCell ref="F48:F52"/>
    <mergeCell ref="G48:G52"/>
    <mergeCell ref="B43:B47"/>
    <mergeCell ref="C43:C47"/>
    <mergeCell ref="D43:D47"/>
    <mergeCell ref="E43:E47"/>
    <mergeCell ref="F43:F47"/>
    <mergeCell ref="G23:G27"/>
    <mergeCell ref="B53:B57"/>
    <mergeCell ref="C53:C57"/>
    <mergeCell ref="D53:D57"/>
    <mergeCell ref="E53:E57"/>
    <mergeCell ref="F53:F57"/>
    <mergeCell ref="G53:G57"/>
    <mergeCell ref="B28:B32"/>
    <mergeCell ref="C28:C32"/>
    <mergeCell ref="D28:D32"/>
    <mergeCell ref="E28:E32"/>
    <mergeCell ref="F28:F32"/>
    <mergeCell ref="G28:G32"/>
    <mergeCell ref="B33:B37"/>
    <mergeCell ref="C33:C37"/>
    <mergeCell ref="D33:D37"/>
    <mergeCell ref="B23:B27"/>
    <mergeCell ref="C23:C27"/>
    <mergeCell ref="D23:D27"/>
    <mergeCell ref="E23:E27"/>
    <mergeCell ref="F23:F27"/>
    <mergeCell ref="E33:E37"/>
    <mergeCell ref="F33:F37"/>
    <mergeCell ref="G33:G3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58:G62"/>
    <mergeCell ref="B63:B67"/>
    <mergeCell ref="C63:C67"/>
    <mergeCell ref="D63:D67"/>
    <mergeCell ref="E63:E67"/>
    <mergeCell ref="F63:F67"/>
    <mergeCell ref="G63:G67"/>
    <mergeCell ref="B58:B62"/>
    <mergeCell ref="C58:C62"/>
    <mergeCell ref="D58:D62"/>
    <mergeCell ref="E58:E62"/>
    <mergeCell ref="F58:F62"/>
    <mergeCell ref="G88:G92"/>
    <mergeCell ref="B83:B87"/>
    <mergeCell ref="C83:C87"/>
    <mergeCell ref="D83:D87"/>
    <mergeCell ref="E83:E87"/>
    <mergeCell ref="F83:F87"/>
    <mergeCell ref="G83:G87"/>
    <mergeCell ref="F88:F92"/>
    <mergeCell ref="B93:E93"/>
    <mergeCell ref="B88:B92"/>
    <mergeCell ref="C88:C92"/>
    <mergeCell ref="D88:D92"/>
    <mergeCell ref="E88:E92"/>
  </mergeCells>
  <phoneticPr fontId="3" type="noConversion"/>
  <conditionalFormatting sqref="N8:O11 N13:O16 N18:O21 N23:O36 N38:O41 N43:O46 N48:O71 N78:O92">
    <cfRule type="expression" dxfId="1" priority="2" stopIfTrue="1">
      <formula>#REF!&gt;0</formula>
    </cfRule>
  </conditionalFormatting>
  <conditionalFormatting sqref="N73:O76">
    <cfRule type="expression" dxfId="0" priority="1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P15"/>
  <sheetViews>
    <sheetView showGridLines="0" zoomScale="85" zoomScaleNormal="85" workbookViewId="0">
      <selection activeCell="F12" sqref="F12:I12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42" customFormat="1" ht="27.75" customHeight="1" x14ac:dyDescent="0.25">
      <c r="I1" s="42" t="s">
        <v>757</v>
      </c>
    </row>
    <row r="2" spans="2:16" ht="15.75" x14ac:dyDescent="0.25"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2:16" ht="18" x14ac:dyDescent="0.25">
      <c r="B3" s="781" t="s">
        <v>25</v>
      </c>
      <c r="C3" s="781"/>
      <c r="D3" s="781"/>
      <c r="E3" s="781"/>
      <c r="F3" s="781"/>
      <c r="G3" s="781"/>
      <c r="H3" s="781"/>
      <c r="I3" s="781"/>
      <c r="J3" s="93"/>
      <c r="K3" s="93"/>
      <c r="L3" s="93"/>
      <c r="M3" s="93"/>
      <c r="N3" s="93"/>
      <c r="O3" s="93"/>
      <c r="P3" s="93"/>
    </row>
    <row r="4" spans="2:16" ht="15.75" x14ac:dyDescent="0.25"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2:16" ht="16.5" thickBot="1" x14ac:dyDescent="0.3">
      <c r="C5" s="58"/>
      <c r="D5" s="58"/>
      <c r="E5" s="58"/>
      <c r="I5" s="292" t="s">
        <v>46</v>
      </c>
      <c r="K5" s="58"/>
      <c r="L5" s="58"/>
      <c r="M5" s="58"/>
      <c r="N5" s="58"/>
      <c r="O5" s="58"/>
      <c r="P5" s="58"/>
    </row>
    <row r="6" spans="2:16" s="23" customFormat="1" ht="32.25" customHeight="1" x14ac:dyDescent="0.25">
      <c r="B6" s="942" t="s">
        <v>2</v>
      </c>
      <c r="C6" s="944" t="s">
        <v>26</v>
      </c>
      <c r="D6" s="288" t="s">
        <v>388</v>
      </c>
      <c r="E6" s="289" t="s">
        <v>394</v>
      </c>
      <c r="F6" s="946" t="s">
        <v>835</v>
      </c>
      <c r="G6" s="933" t="s">
        <v>824</v>
      </c>
      <c r="H6" s="933" t="s">
        <v>825</v>
      </c>
      <c r="I6" s="940" t="s">
        <v>830</v>
      </c>
      <c r="J6" s="51"/>
      <c r="K6" s="51"/>
      <c r="L6" s="51"/>
      <c r="M6" s="51"/>
      <c r="N6" s="51"/>
      <c r="O6" s="2"/>
    </row>
    <row r="7" spans="2:16" s="23" customFormat="1" ht="26.25" customHeight="1" thickBot="1" x14ac:dyDescent="0.25">
      <c r="B7" s="943"/>
      <c r="C7" s="945"/>
      <c r="D7" s="290" t="s">
        <v>758</v>
      </c>
      <c r="E7" s="291" t="s">
        <v>758</v>
      </c>
      <c r="F7" s="947"/>
      <c r="G7" s="934"/>
      <c r="H7" s="934"/>
      <c r="I7" s="941"/>
    </row>
    <row r="8" spans="2:16" s="106" customFormat="1" ht="33" customHeight="1" x14ac:dyDescent="0.2">
      <c r="B8" s="277" t="s">
        <v>84</v>
      </c>
      <c r="C8" s="285" t="s">
        <v>27</v>
      </c>
      <c r="D8" s="135"/>
      <c r="E8" s="278"/>
      <c r="F8" s="135"/>
      <c r="G8" s="82"/>
      <c r="H8" s="82"/>
      <c r="I8" s="85"/>
    </row>
    <row r="9" spans="2:16" s="106" customFormat="1" ht="33" customHeight="1" x14ac:dyDescent="0.2">
      <c r="B9" s="279" t="s">
        <v>85</v>
      </c>
      <c r="C9" s="286" t="s">
        <v>28</v>
      </c>
      <c r="D9" s="148"/>
      <c r="E9" s="280"/>
      <c r="F9" s="81"/>
      <c r="G9" s="68"/>
      <c r="H9" s="68"/>
      <c r="I9" s="69"/>
    </row>
    <row r="10" spans="2:16" s="106" customFormat="1" ht="33" customHeight="1" x14ac:dyDescent="0.2">
      <c r="B10" s="279" t="s">
        <v>86</v>
      </c>
      <c r="C10" s="286" t="s">
        <v>29</v>
      </c>
      <c r="D10" s="81"/>
      <c r="E10" s="281"/>
      <c r="F10" s="81"/>
      <c r="G10" s="68"/>
      <c r="H10" s="68"/>
      <c r="I10" s="69"/>
    </row>
    <row r="11" spans="2:16" s="106" customFormat="1" ht="33" customHeight="1" x14ac:dyDescent="0.2">
      <c r="B11" s="279" t="s">
        <v>87</v>
      </c>
      <c r="C11" s="286" t="s">
        <v>30</v>
      </c>
      <c r="D11" s="81"/>
      <c r="E11" s="281"/>
      <c r="F11" s="81"/>
      <c r="G11" s="68"/>
      <c r="H11" s="68"/>
      <c r="I11" s="69"/>
    </row>
    <row r="12" spans="2:16" s="106" customFormat="1" ht="33" customHeight="1" x14ac:dyDescent="0.2">
      <c r="B12" s="279" t="s">
        <v>88</v>
      </c>
      <c r="C12" s="286" t="s">
        <v>66</v>
      </c>
      <c r="D12" s="81">
        <v>390000</v>
      </c>
      <c r="E12" s="281">
        <v>271169.09000000003</v>
      </c>
      <c r="F12" s="1026">
        <v>95000</v>
      </c>
      <c r="G12" s="1027">
        <v>190000</v>
      </c>
      <c r="H12" s="1027">
        <v>285000</v>
      </c>
      <c r="I12" s="1028">
        <v>380000</v>
      </c>
    </row>
    <row r="13" spans="2:16" s="106" customFormat="1" ht="33" customHeight="1" x14ac:dyDescent="0.2">
      <c r="B13" s="279" t="s">
        <v>89</v>
      </c>
      <c r="C13" s="286" t="s">
        <v>31</v>
      </c>
      <c r="D13" s="81"/>
      <c r="E13" s="281"/>
      <c r="F13" s="81"/>
      <c r="G13" s="68"/>
      <c r="H13" s="68"/>
      <c r="I13" s="69"/>
    </row>
    <row r="14" spans="2:16" s="106" customFormat="1" ht="33" customHeight="1" thickBot="1" x14ac:dyDescent="0.25">
      <c r="B14" s="282" t="s">
        <v>90</v>
      </c>
      <c r="C14" s="287" t="s">
        <v>23</v>
      </c>
      <c r="D14" s="283"/>
      <c r="E14" s="284"/>
      <c r="F14" s="110"/>
      <c r="G14" s="70"/>
      <c r="H14" s="70"/>
      <c r="I14" s="71"/>
    </row>
    <row r="15" spans="2:16" x14ac:dyDescent="0.2">
      <c r="B15" s="153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E67"/>
  <sheetViews>
    <sheetView showGridLines="0" workbookViewId="0">
      <selection activeCell="E22" sqref="E22"/>
    </sheetView>
  </sheetViews>
  <sheetFormatPr defaultRowHeight="15.75" x14ac:dyDescent="0.25"/>
  <cols>
    <col min="1" max="1" width="3.42578125" style="43" customWidth="1"/>
    <col min="2" max="2" width="59.5703125" style="43" customWidth="1"/>
    <col min="3" max="3" width="12.5703125" style="43" customWidth="1"/>
    <col min="4" max="5" width="17.85546875" style="43" customWidth="1"/>
    <col min="6" max="16384" width="9.140625" style="43"/>
  </cols>
  <sheetData>
    <row r="1" spans="2:5" x14ac:dyDescent="0.25">
      <c r="E1" s="52" t="s">
        <v>349</v>
      </c>
    </row>
    <row r="2" spans="2:5" s="4" customFormat="1" ht="21.75" customHeight="1" x14ac:dyDescent="0.25">
      <c r="B2" s="683" t="s">
        <v>43</v>
      </c>
      <c r="C2" s="683"/>
      <c r="D2" s="683"/>
      <c r="E2" s="683"/>
    </row>
    <row r="3" spans="2:5" s="4" customFormat="1" ht="14.25" customHeight="1" x14ac:dyDescent="0.25">
      <c r="B3" s="683" t="s">
        <v>802</v>
      </c>
      <c r="C3" s="683"/>
      <c r="D3" s="683"/>
      <c r="E3" s="683"/>
    </row>
    <row r="4" spans="2:5" ht="16.5" thickBot="1" x14ac:dyDescent="0.3">
      <c r="E4" s="44" t="s">
        <v>198</v>
      </c>
    </row>
    <row r="5" spans="2:5" ht="39" customHeight="1" x14ac:dyDescent="0.25">
      <c r="B5" s="565" t="s">
        <v>664</v>
      </c>
      <c r="C5" s="562" t="s">
        <v>40</v>
      </c>
      <c r="D5" s="563" t="s">
        <v>809</v>
      </c>
      <c r="E5" s="566" t="s">
        <v>810</v>
      </c>
    </row>
    <row r="6" spans="2:5" ht="16.5" thickBot="1" x14ac:dyDescent="0.3">
      <c r="B6" s="27">
        <v>1</v>
      </c>
      <c r="C6" s="24">
        <v>2</v>
      </c>
      <c r="D6" s="60">
        <v>3</v>
      </c>
      <c r="E6" s="61">
        <v>4</v>
      </c>
    </row>
    <row r="7" spans="2:5" ht="20.100000000000001" customHeight="1" x14ac:dyDescent="0.25">
      <c r="B7" s="567" t="s">
        <v>665</v>
      </c>
      <c r="C7" s="59"/>
      <c r="D7" s="573"/>
      <c r="E7" s="574"/>
    </row>
    <row r="8" spans="2:5" ht="20.100000000000001" customHeight="1" x14ac:dyDescent="0.25">
      <c r="B8" s="568" t="s">
        <v>666</v>
      </c>
      <c r="C8" s="307">
        <v>3001</v>
      </c>
      <c r="D8" s="575">
        <f>SUM(D9:D12)</f>
        <v>1130347</v>
      </c>
      <c r="E8" s="576">
        <f>SUM(E9:E12)</f>
        <v>287429</v>
      </c>
    </row>
    <row r="9" spans="2:5" ht="20.100000000000001" customHeight="1" x14ac:dyDescent="0.25">
      <c r="B9" s="569" t="s">
        <v>667</v>
      </c>
      <c r="C9" s="11">
        <v>3002</v>
      </c>
      <c r="D9" s="577">
        <v>1029347</v>
      </c>
      <c r="E9" s="628">
        <v>211407</v>
      </c>
    </row>
    <row r="10" spans="2:5" ht="20.100000000000001" customHeight="1" x14ac:dyDescent="0.25">
      <c r="B10" s="569" t="s">
        <v>668</v>
      </c>
      <c r="C10" s="11">
        <v>3003</v>
      </c>
      <c r="D10" s="577"/>
      <c r="E10" s="578"/>
    </row>
    <row r="11" spans="2:5" ht="20.100000000000001" customHeight="1" x14ac:dyDescent="0.25">
      <c r="B11" s="569" t="s">
        <v>669</v>
      </c>
      <c r="C11" s="11">
        <v>3004</v>
      </c>
      <c r="D11" s="577"/>
      <c r="E11" s="578"/>
    </row>
    <row r="12" spans="2:5" ht="20.100000000000001" customHeight="1" x14ac:dyDescent="0.25">
      <c r="B12" s="569" t="s">
        <v>768</v>
      </c>
      <c r="C12" s="11">
        <v>3005</v>
      </c>
      <c r="D12" s="577">
        <v>101000</v>
      </c>
      <c r="E12" s="628">
        <v>76022</v>
      </c>
    </row>
    <row r="13" spans="2:5" ht="20.100000000000001" customHeight="1" x14ac:dyDescent="0.25">
      <c r="B13" s="568" t="s">
        <v>670</v>
      </c>
      <c r="C13" s="307">
        <v>3006</v>
      </c>
      <c r="D13" s="575">
        <f>SUM(D14:D21)</f>
        <v>1129247</v>
      </c>
      <c r="E13" s="576">
        <f>SUM(E14:E21)</f>
        <v>287156</v>
      </c>
    </row>
    <row r="14" spans="2:5" ht="20.100000000000001" customHeight="1" x14ac:dyDescent="0.25">
      <c r="B14" s="569" t="s">
        <v>671</v>
      </c>
      <c r="C14" s="11">
        <v>3007</v>
      </c>
      <c r="D14" s="577">
        <v>1090307</v>
      </c>
      <c r="E14" s="578">
        <v>257894</v>
      </c>
    </row>
    <row r="15" spans="2:5" ht="20.100000000000001" customHeight="1" x14ac:dyDescent="0.25">
      <c r="B15" s="569" t="s">
        <v>672</v>
      </c>
      <c r="C15" s="11">
        <v>3008</v>
      </c>
      <c r="D15" s="577"/>
      <c r="E15" s="578"/>
    </row>
    <row r="16" spans="2:5" ht="20.100000000000001" customHeight="1" x14ac:dyDescent="0.25">
      <c r="B16" s="569" t="s">
        <v>673</v>
      </c>
      <c r="C16" s="11">
        <v>3009</v>
      </c>
      <c r="D16" s="577">
        <v>37760</v>
      </c>
      <c r="E16" s="578">
        <v>28298</v>
      </c>
    </row>
    <row r="17" spans="2:5" ht="20.100000000000001" customHeight="1" x14ac:dyDescent="0.25">
      <c r="B17" s="569" t="s">
        <v>674</v>
      </c>
      <c r="C17" s="11">
        <v>3010</v>
      </c>
      <c r="D17" s="577"/>
      <c r="E17" s="578"/>
    </row>
    <row r="18" spans="2:5" ht="20.100000000000001" customHeight="1" x14ac:dyDescent="0.25">
      <c r="B18" s="569" t="s">
        <v>675</v>
      </c>
      <c r="C18" s="11">
        <v>3011</v>
      </c>
      <c r="D18" s="577"/>
      <c r="E18" s="578"/>
    </row>
    <row r="19" spans="2:5" ht="20.100000000000001" customHeight="1" x14ac:dyDescent="0.25">
      <c r="B19" s="569" t="s">
        <v>676</v>
      </c>
      <c r="C19" s="11">
        <v>3012</v>
      </c>
      <c r="D19" s="577"/>
      <c r="E19" s="578"/>
    </row>
    <row r="20" spans="2:5" ht="20.100000000000001" customHeight="1" x14ac:dyDescent="0.25">
      <c r="B20" s="569" t="s">
        <v>677</v>
      </c>
      <c r="C20" s="11">
        <v>3013</v>
      </c>
      <c r="D20" s="577">
        <v>1180</v>
      </c>
      <c r="E20" s="578">
        <v>964</v>
      </c>
    </row>
    <row r="21" spans="2:5" ht="20.100000000000001" customHeight="1" x14ac:dyDescent="0.25">
      <c r="B21" s="569" t="s">
        <v>766</v>
      </c>
      <c r="C21" s="11">
        <v>3014</v>
      </c>
      <c r="D21" s="577"/>
      <c r="E21" s="578"/>
    </row>
    <row r="22" spans="2:5" ht="20.100000000000001" customHeight="1" x14ac:dyDescent="0.25">
      <c r="B22" s="569" t="s">
        <v>678</v>
      </c>
      <c r="C22" s="11">
        <v>3015</v>
      </c>
      <c r="D22" s="577">
        <f>SUM(D8-D13)</f>
        <v>1100</v>
      </c>
      <c r="E22" s="578">
        <f>SUM(E8-E13)</f>
        <v>273</v>
      </c>
    </row>
    <row r="23" spans="2:5" ht="20.100000000000001" customHeight="1" x14ac:dyDescent="0.25">
      <c r="B23" s="569" t="s">
        <v>679</v>
      </c>
      <c r="C23" s="11">
        <v>3016</v>
      </c>
      <c r="D23" s="577"/>
      <c r="E23" s="578"/>
    </row>
    <row r="24" spans="2:5" ht="20.100000000000001" customHeight="1" x14ac:dyDescent="0.25">
      <c r="B24" s="570" t="s">
        <v>786</v>
      </c>
      <c r="C24" s="11"/>
      <c r="D24" s="577"/>
      <c r="E24" s="578"/>
    </row>
    <row r="25" spans="2:5" ht="20.100000000000001" customHeight="1" x14ac:dyDescent="0.25">
      <c r="B25" s="568" t="s">
        <v>132</v>
      </c>
      <c r="C25" s="307">
        <v>3017</v>
      </c>
      <c r="D25" s="575">
        <f>SUM(D26:D30)</f>
        <v>0</v>
      </c>
      <c r="E25" s="576">
        <f>SUM(E26:E30)</f>
        <v>0</v>
      </c>
    </row>
    <row r="26" spans="2:5" ht="20.100000000000001" customHeight="1" x14ac:dyDescent="0.25">
      <c r="B26" s="569" t="s">
        <v>681</v>
      </c>
      <c r="C26" s="11">
        <v>3018</v>
      </c>
      <c r="D26" s="577"/>
      <c r="E26" s="578"/>
    </row>
    <row r="27" spans="2:5" ht="27.75" customHeight="1" x14ac:dyDescent="0.25">
      <c r="B27" s="569" t="s">
        <v>682</v>
      </c>
      <c r="C27" s="11">
        <v>3019</v>
      </c>
      <c r="D27" s="577"/>
      <c r="E27" s="578"/>
    </row>
    <row r="28" spans="2:5" ht="20.100000000000001" customHeight="1" x14ac:dyDescent="0.25">
      <c r="B28" s="569" t="s">
        <v>683</v>
      </c>
      <c r="C28" s="11">
        <v>3020</v>
      </c>
      <c r="D28" s="577"/>
      <c r="E28" s="578"/>
    </row>
    <row r="29" spans="2:5" ht="20.100000000000001" customHeight="1" x14ac:dyDescent="0.25">
      <c r="B29" s="569" t="s">
        <v>684</v>
      </c>
      <c r="C29" s="11">
        <v>3021</v>
      </c>
      <c r="D29" s="577"/>
      <c r="E29" s="578"/>
    </row>
    <row r="30" spans="2:5" ht="20.100000000000001" customHeight="1" x14ac:dyDescent="0.25">
      <c r="B30" s="569" t="s">
        <v>32</v>
      </c>
      <c r="C30" s="11">
        <v>3022</v>
      </c>
      <c r="D30" s="577"/>
      <c r="E30" s="578"/>
    </row>
    <row r="31" spans="2:5" ht="20.100000000000001" customHeight="1" x14ac:dyDescent="0.25">
      <c r="B31" s="568" t="s">
        <v>133</v>
      </c>
      <c r="C31" s="307">
        <v>3023</v>
      </c>
      <c r="D31" s="575">
        <f>SUM(D32:D34)</f>
        <v>1100</v>
      </c>
      <c r="E31" s="576">
        <f>SUM(E32:E34)</f>
        <v>822</v>
      </c>
    </row>
    <row r="32" spans="2:5" ht="20.100000000000001" customHeight="1" x14ac:dyDescent="0.25">
      <c r="B32" s="569" t="s">
        <v>685</v>
      </c>
      <c r="C32" s="11">
        <v>3024</v>
      </c>
      <c r="D32" s="577"/>
      <c r="E32" s="578"/>
    </row>
    <row r="33" spans="2:5" ht="34.5" customHeight="1" x14ac:dyDescent="0.25">
      <c r="B33" s="569" t="s">
        <v>686</v>
      </c>
      <c r="C33" s="11">
        <v>3025</v>
      </c>
      <c r="D33" s="577">
        <v>1100</v>
      </c>
      <c r="E33" s="578">
        <v>822</v>
      </c>
    </row>
    <row r="34" spans="2:5" ht="20.100000000000001" customHeight="1" x14ac:dyDescent="0.25">
      <c r="B34" s="569" t="s">
        <v>687</v>
      </c>
      <c r="C34" s="11">
        <v>3026</v>
      </c>
      <c r="D34" s="577"/>
      <c r="E34" s="578"/>
    </row>
    <row r="35" spans="2:5" ht="20.100000000000001" customHeight="1" x14ac:dyDescent="0.25">
      <c r="B35" s="569" t="s">
        <v>688</v>
      </c>
      <c r="C35" s="11">
        <v>3027</v>
      </c>
      <c r="D35" s="577"/>
      <c r="E35" s="578"/>
    </row>
    <row r="36" spans="2:5" ht="20.100000000000001" customHeight="1" x14ac:dyDescent="0.25">
      <c r="B36" s="569" t="s">
        <v>689</v>
      </c>
      <c r="C36" s="11">
        <v>3028</v>
      </c>
      <c r="D36" s="577">
        <f>SUM(D31-D25)</f>
        <v>1100</v>
      </c>
      <c r="E36" s="578">
        <f>SUM(E31-E25)</f>
        <v>822</v>
      </c>
    </row>
    <row r="37" spans="2:5" ht="22.5" customHeight="1" x14ac:dyDescent="0.25">
      <c r="B37" s="570" t="s">
        <v>690</v>
      </c>
      <c r="C37" s="11"/>
      <c r="D37" s="577"/>
      <c r="E37" s="578"/>
    </row>
    <row r="38" spans="2:5" ht="20.100000000000001" customHeight="1" x14ac:dyDescent="0.25">
      <c r="B38" s="568" t="s">
        <v>691</v>
      </c>
      <c r="C38" s="307">
        <v>3029</v>
      </c>
      <c r="D38" s="575">
        <f>SUM(D39:D45)</f>
        <v>0</v>
      </c>
      <c r="E38" s="576">
        <f>SUM(E39:E45)</f>
        <v>0</v>
      </c>
    </row>
    <row r="39" spans="2:5" ht="20.100000000000001" customHeight="1" x14ac:dyDescent="0.25">
      <c r="B39" s="569" t="s">
        <v>33</v>
      </c>
      <c r="C39" s="11">
        <v>3030</v>
      </c>
      <c r="D39" s="577"/>
      <c r="E39" s="578"/>
    </row>
    <row r="40" spans="2:5" ht="20.100000000000001" customHeight="1" x14ac:dyDescent="0.25">
      <c r="B40" s="569" t="s">
        <v>692</v>
      </c>
      <c r="C40" s="11">
        <v>3031</v>
      </c>
      <c r="D40" s="577"/>
      <c r="E40" s="578"/>
    </row>
    <row r="41" spans="2:5" ht="20.100000000000001" customHeight="1" x14ac:dyDescent="0.25">
      <c r="B41" s="569" t="s">
        <v>693</v>
      </c>
      <c r="C41" s="11">
        <v>3032</v>
      </c>
      <c r="D41" s="577"/>
      <c r="E41" s="578"/>
    </row>
    <row r="42" spans="2:5" ht="20.100000000000001" customHeight="1" x14ac:dyDescent="0.25">
      <c r="B42" s="569" t="s">
        <v>694</v>
      </c>
      <c r="C42" s="11">
        <v>3033</v>
      </c>
      <c r="D42" s="577"/>
      <c r="E42" s="578"/>
    </row>
    <row r="43" spans="2:5" ht="20.100000000000001" customHeight="1" x14ac:dyDescent="0.25">
      <c r="B43" s="569" t="s">
        <v>695</v>
      </c>
      <c r="C43" s="11">
        <v>3034</v>
      </c>
      <c r="D43" s="577"/>
      <c r="E43" s="578"/>
    </row>
    <row r="44" spans="2:5" ht="20.100000000000001" customHeight="1" x14ac:dyDescent="0.25">
      <c r="B44" s="569" t="s">
        <v>696</v>
      </c>
      <c r="C44" s="11">
        <v>3035</v>
      </c>
      <c r="D44" s="577"/>
      <c r="E44" s="578"/>
    </row>
    <row r="45" spans="2:5" ht="20.100000000000001" customHeight="1" x14ac:dyDescent="0.25">
      <c r="B45" s="569" t="s">
        <v>767</v>
      </c>
      <c r="C45" s="11">
        <v>3036</v>
      </c>
      <c r="D45" s="577"/>
      <c r="E45" s="578"/>
    </row>
    <row r="46" spans="2:5" ht="20.100000000000001" customHeight="1" x14ac:dyDescent="0.25">
      <c r="B46" s="568" t="s">
        <v>697</v>
      </c>
      <c r="C46" s="307">
        <v>3037</v>
      </c>
      <c r="D46" s="575">
        <f>SUM(D47:D54)</f>
        <v>0</v>
      </c>
      <c r="E46" s="576">
        <f>SUM(E47:E54)</f>
        <v>0</v>
      </c>
    </row>
    <row r="47" spans="2:5" ht="20.100000000000001" customHeight="1" x14ac:dyDescent="0.25">
      <c r="B47" s="569" t="s">
        <v>698</v>
      </c>
      <c r="C47" s="11">
        <v>3038</v>
      </c>
      <c r="D47" s="577"/>
      <c r="E47" s="578"/>
    </row>
    <row r="48" spans="2:5" ht="20.100000000000001" customHeight="1" x14ac:dyDescent="0.25">
      <c r="B48" s="569" t="s">
        <v>692</v>
      </c>
      <c r="C48" s="11">
        <v>3039</v>
      </c>
      <c r="D48" s="577"/>
      <c r="E48" s="578"/>
    </row>
    <row r="49" spans="2:5" ht="20.100000000000001" customHeight="1" x14ac:dyDescent="0.25">
      <c r="B49" s="569" t="s">
        <v>693</v>
      </c>
      <c r="C49" s="11">
        <v>3040</v>
      </c>
      <c r="D49" s="577"/>
      <c r="E49" s="578"/>
    </row>
    <row r="50" spans="2:5" ht="20.100000000000001" customHeight="1" x14ac:dyDescent="0.25">
      <c r="B50" s="569" t="s">
        <v>694</v>
      </c>
      <c r="C50" s="11">
        <v>3041</v>
      </c>
      <c r="D50" s="577"/>
      <c r="E50" s="578"/>
    </row>
    <row r="51" spans="2:5" ht="20.100000000000001" customHeight="1" x14ac:dyDescent="0.25">
      <c r="B51" s="569" t="s">
        <v>695</v>
      </c>
      <c r="C51" s="11">
        <v>3042</v>
      </c>
      <c r="D51" s="577"/>
      <c r="E51" s="578"/>
    </row>
    <row r="52" spans="2:5" ht="20.100000000000001" customHeight="1" x14ac:dyDescent="0.25">
      <c r="B52" s="569" t="s">
        <v>699</v>
      </c>
      <c r="C52" s="11">
        <v>3043</v>
      </c>
      <c r="D52" s="577"/>
      <c r="E52" s="578"/>
    </row>
    <row r="53" spans="2:5" ht="20.100000000000001" customHeight="1" x14ac:dyDescent="0.25">
      <c r="B53" s="569" t="s">
        <v>700</v>
      </c>
      <c r="C53" s="11">
        <v>3044</v>
      </c>
      <c r="D53" s="577"/>
      <c r="E53" s="578"/>
    </row>
    <row r="54" spans="2:5" ht="20.100000000000001" customHeight="1" x14ac:dyDescent="0.25">
      <c r="B54" s="569" t="s">
        <v>701</v>
      </c>
      <c r="C54" s="11">
        <v>3045</v>
      </c>
      <c r="D54" s="577"/>
      <c r="E54" s="578"/>
    </row>
    <row r="55" spans="2:5" ht="20.100000000000001" customHeight="1" x14ac:dyDescent="0.25">
      <c r="B55" s="569" t="s">
        <v>702</v>
      </c>
      <c r="C55" s="11">
        <v>3046</v>
      </c>
      <c r="D55" s="577">
        <f>SUM(D38-D46)</f>
        <v>0</v>
      </c>
      <c r="E55" s="578">
        <f>SUM(E38-E46)</f>
        <v>0</v>
      </c>
    </row>
    <row r="56" spans="2:5" ht="20.100000000000001" customHeight="1" x14ac:dyDescent="0.25">
      <c r="B56" s="569" t="s">
        <v>703</v>
      </c>
      <c r="C56" s="11">
        <v>3047</v>
      </c>
      <c r="D56" s="577">
        <f>SUM(D46-D38)</f>
        <v>0</v>
      </c>
      <c r="E56" s="578">
        <f>SUM(E46-E38)</f>
        <v>0</v>
      </c>
    </row>
    <row r="57" spans="2:5" ht="20.100000000000001" customHeight="1" x14ac:dyDescent="0.25">
      <c r="B57" s="570" t="s">
        <v>704</v>
      </c>
      <c r="C57" s="11">
        <v>3048</v>
      </c>
      <c r="D57" s="577">
        <f>SUM(D8,D25,D38)</f>
        <v>1130347</v>
      </c>
      <c r="E57" s="578">
        <f>SUM(E8,E25,E38)</f>
        <v>287429</v>
      </c>
    </row>
    <row r="58" spans="2:5" ht="20.100000000000001" customHeight="1" x14ac:dyDescent="0.25">
      <c r="B58" s="570" t="s">
        <v>705</v>
      </c>
      <c r="C58" s="11">
        <v>3049</v>
      </c>
      <c r="D58" s="577">
        <f>SUM(D13,D31,D46)</f>
        <v>1130347</v>
      </c>
      <c r="E58" s="578">
        <f>SUM(E13,E31,E46)</f>
        <v>287978</v>
      </c>
    </row>
    <row r="59" spans="2:5" ht="20.100000000000001" customHeight="1" x14ac:dyDescent="0.25">
      <c r="B59" s="568" t="s">
        <v>706</v>
      </c>
      <c r="C59" s="307">
        <v>3050</v>
      </c>
      <c r="D59" s="575">
        <f>SUM(D57-D58)</f>
        <v>0</v>
      </c>
      <c r="E59" s="576"/>
    </row>
    <row r="60" spans="2:5" ht="20.100000000000001" customHeight="1" x14ac:dyDescent="0.25">
      <c r="B60" s="568" t="s">
        <v>707</v>
      </c>
      <c r="C60" s="307">
        <v>3051</v>
      </c>
      <c r="D60" s="575">
        <f>SUM(D58-D57)</f>
        <v>0</v>
      </c>
      <c r="E60" s="576">
        <f>SUM(E58-E57)</f>
        <v>549</v>
      </c>
    </row>
    <row r="61" spans="2:5" ht="20.100000000000001" customHeight="1" x14ac:dyDescent="0.25">
      <c r="B61" s="568" t="s">
        <v>708</v>
      </c>
      <c r="C61" s="307">
        <v>3052</v>
      </c>
      <c r="D61" s="575">
        <v>1990</v>
      </c>
      <c r="E61" s="576">
        <v>2423</v>
      </c>
    </row>
    <row r="62" spans="2:5" ht="24" customHeight="1" x14ac:dyDescent="0.25">
      <c r="B62" s="570" t="s">
        <v>709</v>
      </c>
      <c r="C62" s="11">
        <v>3053</v>
      </c>
      <c r="D62" s="577"/>
      <c r="E62" s="578"/>
    </row>
    <row r="63" spans="2:5" ht="24" customHeight="1" x14ac:dyDescent="0.25">
      <c r="B63" s="570" t="s">
        <v>791</v>
      </c>
      <c r="C63" s="11">
        <v>3054</v>
      </c>
      <c r="D63" s="577"/>
      <c r="E63" s="578"/>
    </row>
    <row r="64" spans="2:5" ht="20.100000000000001" customHeight="1" x14ac:dyDescent="0.25">
      <c r="B64" s="571" t="s">
        <v>710</v>
      </c>
      <c r="C64" s="684">
        <v>3055</v>
      </c>
      <c r="D64" s="686">
        <f>SUM(D59,-D60,D61,D62,D63)</f>
        <v>1990</v>
      </c>
      <c r="E64" s="688">
        <f>SUM(E59,-E60,E61,E62,E63)</f>
        <v>1874</v>
      </c>
    </row>
    <row r="65" spans="2:5" ht="13.5" customHeight="1" thickBot="1" x14ac:dyDescent="0.3">
      <c r="B65" s="572" t="s">
        <v>711</v>
      </c>
      <c r="C65" s="685"/>
      <c r="D65" s="687"/>
      <c r="E65" s="689"/>
    </row>
    <row r="66" spans="2:5" x14ac:dyDescent="0.25">
      <c r="B66" s="2"/>
    </row>
    <row r="67" spans="2:5" x14ac:dyDescent="0.25">
      <c r="B67" s="2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9" tint="0.79998168889431442"/>
  </sheetPr>
  <dimension ref="B1:J15"/>
  <sheetViews>
    <sheetView showGridLines="0" topLeftCell="A10" workbookViewId="0">
      <selection activeCell="H11" sqref="H11"/>
    </sheetView>
  </sheetViews>
  <sheetFormatPr defaultRowHeight="15.75" x14ac:dyDescent="0.25"/>
  <cols>
    <col min="1" max="1" width="0.7109375" style="408" customWidth="1"/>
    <col min="2" max="2" width="35.5703125" style="408" customWidth="1"/>
    <col min="3" max="3" width="18.7109375" style="408" customWidth="1"/>
    <col min="4" max="4" width="10.7109375" style="408" customWidth="1"/>
    <col min="5" max="8" width="17.7109375" style="408" customWidth="1"/>
    <col min="9" max="9" width="40.42578125" style="408" customWidth="1"/>
    <col min="10" max="10" width="40.28515625" style="408" customWidth="1"/>
    <col min="11" max="11" width="59.85546875" style="408" customWidth="1"/>
    <col min="12" max="16384" width="9.140625" style="408"/>
  </cols>
  <sheetData>
    <row r="1" spans="2:10" x14ac:dyDescent="0.25">
      <c r="J1" s="409" t="s">
        <v>661</v>
      </c>
    </row>
    <row r="3" spans="2:10" ht="20.25" customHeight="1" x14ac:dyDescent="0.25">
      <c r="B3" s="690" t="s">
        <v>714</v>
      </c>
      <c r="C3" s="690"/>
      <c r="D3" s="690"/>
      <c r="E3" s="690"/>
      <c r="F3" s="690"/>
      <c r="G3" s="690"/>
      <c r="H3" s="690"/>
      <c r="I3" s="690"/>
      <c r="J3" s="690"/>
    </row>
    <row r="4" spans="2:10" ht="16.5" thickBot="1" x14ac:dyDescent="0.3"/>
    <row r="5" spans="2:10" ht="21.75" customHeight="1" thickBot="1" x14ac:dyDescent="0.3">
      <c r="B5" s="691" t="s">
        <v>715</v>
      </c>
      <c r="C5" s="693" t="s">
        <v>716</v>
      </c>
      <c r="D5" s="695" t="s">
        <v>717</v>
      </c>
      <c r="E5" s="697" t="s">
        <v>718</v>
      </c>
      <c r="F5" s="697"/>
      <c r="G5" s="697"/>
      <c r="H5" s="698"/>
      <c r="I5" s="699" t="s">
        <v>719</v>
      </c>
      <c r="J5" s="693" t="s">
        <v>720</v>
      </c>
    </row>
    <row r="6" spans="2:10" ht="30.75" customHeight="1" thickBot="1" x14ac:dyDescent="0.3">
      <c r="B6" s="692"/>
      <c r="C6" s="694"/>
      <c r="D6" s="696"/>
      <c r="E6" s="604" t="s">
        <v>717</v>
      </c>
      <c r="F6" s="410" t="s">
        <v>793</v>
      </c>
      <c r="G6" s="410" t="s">
        <v>796</v>
      </c>
      <c r="H6" s="411" t="s">
        <v>811</v>
      </c>
      <c r="I6" s="700"/>
      <c r="J6" s="694"/>
    </row>
    <row r="7" spans="2:10" ht="42.75" x14ac:dyDescent="0.25">
      <c r="B7" s="412" t="s">
        <v>889</v>
      </c>
      <c r="C7" s="579" t="s">
        <v>890</v>
      </c>
      <c r="D7" s="606">
        <v>2024</v>
      </c>
      <c r="E7" s="605" t="s">
        <v>891</v>
      </c>
      <c r="F7" s="413" t="s">
        <v>892</v>
      </c>
      <c r="G7" s="382" t="s">
        <v>892</v>
      </c>
      <c r="H7" s="414" t="s">
        <v>892</v>
      </c>
      <c r="I7" s="415" t="s">
        <v>893</v>
      </c>
      <c r="J7" s="416"/>
    </row>
    <row r="8" spans="2:10" ht="85.5" x14ac:dyDescent="0.25">
      <c r="B8" s="417" t="s">
        <v>889</v>
      </c>
      <c r="C8" s="580" t="s">
        <v>1035</v>
      </c>
      <c r="D8" s="606">
        <v>2024</v>
      </c>
      <c r="E8" s="418">
        <v>100</v>
      </c>
      <c r="F8" s="418">
        <v>100</v>
      </c>
      <c r="G8" s="387">
        <v>100</v>
      </c>
      <c r="H8" s="419">
        <v>100</v>
      </c>
      <c r="I8" s="420" t="s">
        <v>893</v>
      </c>
      <c r="J8" s="421"/>
    </row>
    <row r="9" spans="2:10" ht="71.25" x14ac:dyDescent="0.25">
      <c r="B9" s="417" t="s">
        <v>894</v>
      </c>
      <c r="C9" s="580" t="s">
        <v>1036</v>
      </c>
      <c r="D9" s="606">
        <v>2024</v>
      </c>
      <c r="E9" s="418">
        <v>38</v>
      </c>
      <c r="F9" s="418">
        <v>38</v>
      </c>
      <c r="G9" s="387">
        <v>38</v>
      </c>
      <c r="H9" s="419">
        <v>38</v>
      </c>
      <c r="I9" s="420" t="s">
        <v>893</v>
      </c>
      <c r="J9" s="421"/>
    </row>
    <row r="10" spans="2:10" ht="57" x14ac:dyDescent="0.25">
      <c r="B10" s="417" t="s">
        <v>895</v>
      </c>
      <c r="C10" s="580" t="s">
        <v>896</v>
      </c>
      <c r="D10" s="606">
        <v>2024</v>
      </c>
      <c r="E10" s="418">
        <v>14</v>
      </c>
      <c r="F10" s="418">
        <v>14</v>
      </c>
      <c r="G10" s="387">
        <v>14</v>
      </c>
      <c r="H10" s="419">
        <v>14</v>
      </c>
      <c r="I10" s="420" t="s">
        <v>893</v>
      </c>
      <c r="J10" s="421"/>
    </row>
    <row r="11" spans="2:10" ht="200.25" customHeight="1" x14ac:dyDescent="0.25">
      <c r="B11" s="417" t="s">
        <v>897</v>
      </c>
      <c r="C11" s="580" t="s">
        <v>898</v>
      </c>
      <c r="D11" s="606">
        <v>2024</v>
      </c>
      <c r="E11" s="418">
        <v>0.2</v>
      </c>
      <c r="F11" s="418">
        <v>0.2</v>
      </c>
      <c r="G11" s="387">
        <v>0.2</v>
      </c>
      <c r="H11" s="419">
        <v>0.2</v>
      </c>
      <c r="I11" s="420" t="s">
        <v>893</v>
      </c>
      <c r="J11" s="421"/>
    </row>
    <row r="12" spans="2:10" ht="57" x14ac:dyDescent="0.25">
      <c r="B12" s="417" t="s">
        <v>899</v>
      </c>
      <c r="C12" s="580" t="s">
        <v>900</v>
      </c>
      <c r="D12" s="606">
        <v>2024</v>
      </c>
      <c r="E12" s="418">
        <v>20</v>
      </c>
      <c r="F12" s="418">
        <v>20</v>
      </c>
      <c r="G12" s="387">
        <v>20</v>
      </c>
      <c r="H12" s="419">
        <v>20</v>
      </c>
      <c r="I12" s="420" t="s">
        <v>893</v>
      </c>
      <c r="J12" s="421"/>
    </row>
    <row r="13" spans="2:10" ht="72" thickBot="1" x14ac:dyDescent="0.3">
      <c r="B13" s="422" t="s">
        <v>901</v>
      </c>
      <c r="C13" s="617" t="s">
        <v>1037</v>
      </c>
      <c r="D13" s="607">
        <v>2024</v>
      </c>
      <c r="E13" s="423">
        <v>22.2</v>
      </c>
      <c r="F13" s="423">
        <v>22.2</v>
      </c>
      <c r="G13" s="392">
        <v>22.2</v>
      </c>
      <c r="H13" s="424">
        <v>22.2</v>
      </c>
      <c r="I13" s="425" t="s">
        <v>893</v>
      </c>
      <c r="J13" s="581"/>
    </row>
    <row r="15" spans="2:10" x14ac:dyDescent="0.25">
      <c r="B15" s="426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J41"/>
  <sheetViews>
    <sheetView showGridLines="0" topLeftCell="A7" workbookViewId="0">
      <selection activeCell="D24" sqref="D24"/>
    </sheetView>
  </sheetViews>
  <sheetFormatPr defaultRowHeight="15.75" x14ac:dyDescent="0.25"/>
  <cols>
    <col min="1" max="1" width="1.28515625" style="429" customWidth="1"/>
    <col min="2" max="2" width="33.7109375" style="429" customWidth="1"/>
    <col min="3" max="3" width="6.42578125" style="429" customWidth="1"/>
    <col min="4" max="4" width="22.42578125" style="429" customWidth="1"/>
    <col min="5" max="5" width="6.42578125" style="429" customWidth="1"/>
    <col min="6" max="6" width="22.42578125" style="429" customWidth="1"/>
    <col min="7" max="7" width="6.42578125" style="429" customWidth="1"/>
    <col min="8" max="8" width="18.42578125" style="429" customWidth="1"/>
    <col min="9" max="9" width="21" style="429" customWidth="1"/>
    <col min="10" max="10" width="50.28515625" style="429" customWidth="1"/>
    <col min="11" max="11" width="9.140625" style="429" customWidth="1"/>
    <col min="12" max="16384" width="9.140625" style="429"/>
  </cols>
  <sheetData>
    <row r="1" spans="1:10" s="427" customFormat="1" ht="18" customHeight="1" x14ac:dyDescent="0.25">
      <c r="B1" s="448"/>
      <c r="C1" s="448"/>
      <c r="D1" s="448"/>
      <c r="E1" s="428"/>
      <c r="F1" s="428"/>
      <c r="G1" s="428"/>
      <c r="H1" s="428"/>
      <c r="I1" s="428"/>
      <c r="J1" s="701" t="s">
        <v>746</v>
      </c>
    </row>
    <row r="2" spans="1:10" s="427" customFormat="1" ht="4.5" customHeight="1" x14ac:dyDescent="0.25">
      <c r="A2" s="427">
        <v>1</v>
      </c>
      <c r="B2" s="448" t="s">
        <v>721</v>
      </c>
      <c r="C2" s="448">
        <v>1</v>
      </c>
      <c r="D2" s="448" t="s">
        <v>722</v>
      </c>
      <c r="E2" s="428"/>
      <c r="F2" s="428"/>
      <c r="G2" s="428"/>
      <c r="H2" s="428"/>
      <c r="I2" s="428"/>
      <c r="J2" s="701"/>
    </row>
    <row r="3" spans="1:10" s="427" customFormat="1" ht="5.25" customHeight="1" x14ac:dyDescent="0.25">
      <c r="A3" s="427">
        <v>2</v>
      </c>
      <c r="B3" s="448" t="s">
        <v>723</v>
      </c>
      <c r="C3" s="448">
        <v>2</v>
      </c>
      <c r="D3" s="448" t="s">
        <v>724</v>
      </c>
      <c r="E3" s="428"/>
      <c r="F3" s="428"/>
      <c r="G3" s="428"/>
      <c r="H3" s="428"/>
      <c r="I3" s="428"/>
      <c r="J3" s="701"/>
    </row>
    <row r="4" spans="1:10" s="427" customFormat="1" ht="1.5" customHeight="1" x14ac:dyDescent="0.25">
      <c r="A4" s="427">
        <v>3</v>
      </c>
      <c r="B4" s="428" t="s">
        <v>725</v>
      </c>
      <c r="C4" s="428">
        <v>3</v>
      </c>
      <c r="D4" s="428" t="s">
        <v>726</v>
      </c>
      <c r="E4" s="428"/>
      <c r="F4" s="428"/>
      <c r="G4" s="428"/>
      <c r="H4" s="428"/>
      <c r="I4" s="428"/>
      <c r="J4" s="428"/>
    </row>
    <row r="5" spans="1:10" ht="24" customHeight="1" x14ac:dyDescent="0.25">
      <c r="B5" s="702" t="s">
        <v>745</v>
      </c>
      <c r="C5" s="702"/>
      <c r="D5" s="702"/>
      <c r="E5" s="702"/>
      <c r="F5" s="702"/>
      <c r="G5" s="702"/>
      <c r="H5" s="702"/>
      <c r="I5" s="702"/>
      <c r="J5" s="702"/>
    </row>
    <row r="6" spans="1:10" ht="9" customHeight="1" thickBot="1" x14ac:dyDescent="0.3">
      <c r="B6" s="430"/>
      <c r="C6" s="430"/>
      <c r="D6" s="430"/>
      <c r="E6" s="430"/>
      <c r="F6" s="430"/>
      <c r="G6" s="430"/>
      <c r="H6" s="430"/>
      <c r="I6" s="430"/>
      <c r="J6" s="430"/>
    </row>
    <row r="7" spans="1:10" ht="39.75" customHeight="1" thickBot="1" x14ac:dyDescent="0.3">
      <c r="A7" s="431"/>
      <c r="B7" s="703" t="s">
        <v>727</v>
      </c>
      <c r="C7" s="705" t="s">
        <v>728</v>
      </c>
      <c r="D7" s="703"/>
      <c r="E7" s="706" t="s">
        <v>729</v>
      </c>
      <c r="F7" s="707"/>
      <c r="G7" s="708" t="s">
        <v>730</v>
      </c>
      <c r="H7" s="709"/>
      <c r="I7" s="710" t="s">
        <v>747</v>
      </c>
      <c r="J7" s="710" t="s">
        <v>748</v>
      </c>
    </row>
    <row r="8" spans="1:10" ht="27.75" customHeight="1" thickBot="1" x14ac:dyDescent="0.3">
      <c r="A8" s="431"/>
      <c r="B8" s="704"/>
      <c r="C8" s="432" t="s">
        <v>731</v>
      </c>
      <c r="D8" s="433" t="s">
        <v>732</v>
      </c>
      <c r="E8" s="432" t="s">
        <v>731</v>
      </c>
      <c r="F8" s="434" t="s">
        <v>733</v>
      </c>
      <c r="G8" s="435" t="s">
        <v>734</v>
      </c>
      <c r="H8" s="436" t="s">
        <v>735</v>
      </c>
      <c r="I8" s="711"/>
      <c r="J8" s="711"/>
    </row>
    <row r="9" spans="1:10" ht="43.5" x14ac:dyDescent="0.25">
      <c r="A9" s="431"/>
      <c r="B9" s="582" t="s">
        <v>902</v>
      </c>
      <c r="C9" s="583">
        <v>2</v>
      </c>
      <c r="D9" s="438" t="str">
        <f>IF(C9=1,$B$2,IF(C9=2,$B$3,IF(C9=3,$B$4," ")))</f>
        <v>Умерена вероватноћа</v>
      </c>
      <c r="E9" s="590">
        <v>3</v>
      </c>
      <c r="F9" s="440" t="str">
        <f>IF(E9=1,$D$2,IF(E9=2,$D$3,IF(E9=3,$D$4," ")))</f>
        <v>Висок утицај</v>
      </c>
      <c r="G9" s="441">
        <f>IF(C9*E9=0," ",C9*E9)</f>
        <v>6</v>
      </c>
      <c r="H9" s="438" t="str">
        <f>IF(G9=1,"Низак ризик",IF(G9=2,"Умерен ризик",IF(G9=3,"Умерен ризик",IF(G9=4,"Умерен ризик",IF(G9=6,"Висок ризик",IF(G9=9,"Критичан ризик"," "))))))</f>
        <v>Висок ризик</v>
      </c>
      <c r="I9" s="442"/>
      <c r="J9" s="591" t="s">
        <v>918</v>
      </c>
    </row>
    <row r="10" spans="1:10" ht="43.5" x14ac:dyDescent="0.25">
      <c r="A10" s="431"/>
      <c r="B10" s="584" t="s">
        <v>903</v>
      </c>
      <c r="C10" s="583">
        <v>2</v>
      </c>
      <c r="D10" s="440" t="str">
        <f>IF(C10=1,$B$2,IF(C10=2,$B$3,IF(C10=3,$B$4," ")))</f>
        <v>Умерена вероватноћа</v>
      </c>
      <c r="E10" s="590">
        <v>3</v>
      </c>
      <c r="F10" s="440" t="str">
        <f>IF(E10=1,$D$2,IF(E10=2,$D$3,IF(E10=3,$D$4," ")))</f>
        <v>Висок утицај</v>
      </c>
      <c r="G10" s="441">
        <f t="shared" ref="G10:G27" si="0">IF(C10*E10=0," ",C10*E10)</f>
        <v>6</v>
      </c>
      <c r="H10" s="440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Висок ризик</v>
      </c>
      <c r="I10" s="444"/>
      <c r="J10" s="591" t="s">
        <v>919</v>
      </c>
    </row>
    <row r="11" spans="1:10" ht="28.5" x14ac:dyDescent="0.25">
      <c r="A11" s="431"/>
      <c r="B11" s="584" t="s">
        <v>904</v>
      </c>
      <c r="C11" s="583">
        <v>2</v>
      </c>
      <c r="D11" s="440" t="str">
        <f t="shared" ref="D11:D27" si="2">IF(C11=1,$B$2,IF(C11=2,$B$3,IF(C11=3,$B$4," ")))</f>
        <v>Умерена вероватноћа</v>
      </c>
      <c r="E11" s="590">
        <v>2</v>
      </c>
      <c r="F11" s="440" t="str">
        <f t="shared" ref="F11:F27" si="3">IF(E11=1,$D$2,IF(E11=2,$D$3,IF(E11=3,$D$4," ")))</f>
        <v>Умерен утицај</v>
      </c>
      <c r="G11" s="441">
        <f t="shared" si="0"/>
        <v>4</v>
      </c>
      <c r="H11" s="440" t="str">
        <f t="shared" si="1"/>
        <v>Умерен ризик</v>
      </c>
      <c r="I11" s="444"/>
      <c r="J11" s="592" t="s">
        <v>920</v>
      </c>
    </row>
    <row r="12" spans="1:10" x14ac:dyDescent="0.25">
      <c r="A12" s="431"/>
      <c r="B12" s="584" t="s">
        <v>905</v>
      </c>
      <c r="C12" s="583">
        <v>1</v>
      </c>
      <c r="D12" s="440" t="str">
        <f t="shared" si="2"/>
        <v>Ниска вероватноћа</v>
      </c>
      <c r="E12" s="590">
        <v>2</v>
      </c>
      <c r="F12" s="440" t="str">
        <f t="shared" si="3"/>
        <v>Умерен утицај</v>
      </c>
      <c r="G12" s="441">
        <f t="shared" si="0"/>
        <v>2</v>
      </c>
      <c r="H12" s="440" t="str">
        <f t="shared" si="1"/>
        <v>Умерен ризик</v>
      </c>
      <c r="I12" s="444"/>
      <c r="J12" s="592" t="s">
        <v>921</v>
      </c>
    </row>
    <row r="13" spans="1:10" ht="28.5" x14ac:dyDescent="0.25">
      <c r="A13" s="431"/>
      <c r="B13" s="584" t="s">
        <v>906</v>
      </c>
      <c r="C13" s="583">
        <v>2</v>
      </c>
      <c r="D13" s="440" t="str">
        <f t="shared" si="2"/>
        <v>Умерена вероватноћа</v>
      </c>
      <c r="E13" s="590">
        <v>2</v>
      </c>
      <c r="F13" s="440" t="str">
        <f t="shared" si="3"/>
        <v>Умерен утицај</v>
      </c>
      <c r="G13" s="441">
        <f t="shared" si="0"/>
        <v>4</v>
      </c>
      <c r="H13" s="440" t="str">
        <f t="shared" si="1"/>
        <v>Умерен ризик</v>
      </c>
      <c r="I13" s="444"/>
      <c r="J13" s="592" t="s">
        <v>922</v>
      </c>
    </row>
    <row r="14" spans="1:10" ht="28.5" x14ac:dyDescent="0.25">
      <c r="A14" s="431"/>
      <c r="B14" s="584" t="s">
        <v>907</v>
      </c>
      <c r="C14" s="583">
        <v>2</v>
      </c>
      <c r="D14" s="440" t="str">
        <f t="shared" si="2"/>
        <v>Умерена вероватноћа</v>
      </c>
      <c r="E14" s="590">
        <v>2</v>
      </c>
      <c r="F14" s="440" t="str">
        <f t="shared" si="3"/>
        <v>Умерен утицај</v>
      </c>
      <c r="G14" s="441">
        <f t="shared" si="0"/>
        <v>4</v>
      </c>
      <c r="H14" s="440" t="str">
        <f t="shared" si="1"/>
        <v>Умерен ризик</v>
      </c>
      <c r="I14" s="444"/>
      <c r="J14" s="593" t="s">
        <v>923</v>
      </c>
    </row>
    <row r="15" spans="1:10" x14ac:dyDescent="0.25">
      <c r="A15" s="431"/>
      <c r="B15" s="585" t="s">
        <v>908</v>
      </c>
      <c r="C15" s="583">
        <v>1</v>
      </c>
      <c r="D15" s="440" t="str">
        <f t="shared" si="2"/>
        <v>Ниска вероватноћа</v>
      </c>
      <c r="E15" s="590">
        <v>1</v>
      </c>
      <c r="F15" s="440" t="str">
        <f t="shared" si="3"/>
        <v>Низак утицај</v>
      </c>
      <c r="G15" s="441">
        <f t="shared" si="0"/>
        <v>1</v>
      </c>
      <c r="H15" s="440" t="str">
        <f t="shared" si="1"/>
        <v>Низак ризик</v>
      </c>
      <c r="I15" s="444"/>
      <c r="J15" s="592" t="s">
        <v>921</v>
      </c>
    </row>
    <row r="16" spans="1:10" x14ac:dyDescent="0.25">
      <c r="A16" s="431"/>
      <c r="B16" s="586" t="s">
        <v>909</v>
      </c>
      <c r="C16" s="583">
        <v>1</v>
      </c>
      <c r="D16" s="440" t="str">
        <f t="shared" si="2"/>
        <v>Ниска вероватноћа</v>
      </c>
      <c r="E16" s="590">
        <v>2</v>
      </c>
      <c r="F16" s="440" t="str">
        <f t="shared" si="3"/>
        <v>Умерен утицај</v>
      </c>
      <c r="G16" s="441">
        <f t="shared" si="0"/>
        <v>2</v>
      </c>
      <c r="H16" s="440" t="str">
        <f t="shared" si="1"/>
        <v>Умерен ризик</v>
      </c>
      <c r="I16" s="444"/>
      <c r="J16" s="592" t="s">
        <v>924</v>
      </c>
    </row>
    <row r="17" spans="1:10" ht="28.5" x14ac:dyDescent="0.25">
      <c r="A17" s="431"/>
      <c r="B17" s="587" t="s">
        <v>910</v>
      </c>
      <c r="C17" s="583">
        <v>3</v>
      </c>
      <c r="D17" s="440" t="str">
        <f t="shared" si="2"/>
        <v>Висока вероватноћа</v>
      </c>
      <c r="E17" s="590">
        <v>3</v>
      </c>
      <c r="F17" s="440" t="str">
        <f t="shared" si="3"/>
        <v>Висок утицај</v>
      </c>
      <c r="G17" s="441">
        <f t="shared" si="0"/>
        <v>9</v>
      </c>
      <c r="H17" s="440" t="str">
        <f t="shared" si="1"/>
        <v>Критичан ризик</v>
      </c>
      <c r="I17" s="444"/>
      <c r="J17" s="592" t="s">
        <v>925</v>
      </c>
    </row>
    <row r="18" spans="1:10" x14ac:dyDescent="0.25">
      <c r="A18" s="431"/>
      <c r="B18" s="584" t="s">
        <v>911</v>
      </c>
      <c r="C18" s="583">
        <v>2</v>
      </c>
      <c r="D18" s="440" t="str">
        <f t="shared" si="2"/>
        <v>Умерена вероватноћа</v>
      </c>
      <c r="E18" s="590">
        <v>3</v>
      </c>
      <c r="F18" s="440" t="str">
        <f t="shared" si="3"/>
        <v>Висок утицај</v>
      </c>
      <c r="G18" s="441">
        <f t="shared" si="0"/>
        <v>6</v>
      </c>
      <c r="H18" s="440" t="str">
        <f t="shared" si="1"/>
        <v>Висок ризик</v>
      </c>
      <c r="I18" s="444"/>
      <c r="J18" s="592" t="s">
        <v>926</v>
      </c>
    </row>
    <row r="19" spans="1:10" x14ac:dyDescent="0.25">
      <c r="A19" s="431"/>
      <c r="B19" s="584" t="s">
        <v>912</v>
      </c>
      <c r="C19" s="583">
        <v>1</v>
      </c>
      <c r="D19" s="440" t="str">
        <f t="shared" si="2"/>
        <v>Ниска вероватноћа</v>
      </c>
      <c r="E19" s="590">
        <v>2</v>
      </c>
      <c r="F19" s="440" t="str">
        <f t="shared" si="3"/>
        <v>Умерен утицај</v>
      </c>
      <c r="G19" s="441">
        <f t="shared" si="0"/>
        <v>2</v>
      </c>
      <c r="H19" s="440" t="str">
        <f t="shared" si="1"/>
        <v>Умерен ризик</v>
      </c>
      <c r="I19" s="444"/>
      <c r="J19" s="592" t="s">
        <v>927</v>
      </c>
    </row>
    <row r="20" spans="1:10" ht="28.5" x14ac:dyDescent="0.25">
      <c r="A20" s="431"/>
      <c r="B20" s="588" t="s">
        <v>913</v>
      </c>
      <c r="C20" s="583">
        <v>1</v>
      </c>
      <c r="D20" s="440" t="str">
        <f t="shared" si="2"/>
        <v>Ниска вероватноћа</v>
      </c>
      <c r="E20" s="590">
        <v>2</v>
      </c>
      <c r="F20" s="440" t="str">
        <f t="shared" si="3"/>
        <v>Умерен утицај</v>
      </c>
      <c r="G20" s="441">
        <f t="shared" si="0"/>
        <v>2</v>
      </c>
      <c r="H20" s="440" t="str">
        <f t="shared" si="1"/>
        <v>Умерен ризик</v>
      </c>
      <c r="I20" s="444"/>
      <c r="J20" s="592" t="s">
        <v>921</v>
      </c>
    </row>
    <row r="21" spans="1:10" ht="28.5" x14ac:dyDescent="0.25">
      <c r="A21" s="431"/>
      <c r="B21" s="589" t="s">
        <v>914</v>
      </c>
      <c r="C21" s="583">
        <v>2</v>
      </c>
      <c r="D21" s="440" t="str">
        <f t="shared" si="2"/>
        <v>Умерена вероватноћа</v>
      </c>
      <c r="E21" s="590">
        <v>2</v>
      </c>
      <c r="F21" s="440" t="str">
        <f t="shared" si="3"/>
        <v>Умерен утицај</v>
      </c>
      <c r="G21" s="441">
        <f t="shared" si="0"/>
        <v>4</v>
      </c>
      <c r="H21" s="440" t="str">
        <f t="shared" si="1"/>
        <v>Умерен ризик</v>
      </c>
      <c r="I21" s="444"/>
      <c r="J21" s="592" t="s">
        <v>928</v>
      </c>
    </row>
    <row r="22" spans="1:10" ht="28.5" x14ac:dyDescent="0.25">
      <c r="A22" s="431"/>
      <c r="B22" s="584" t="s">
        <v>915</v>
      </c>
      <c r="C22" s="583">
        <v>3</v>
      </c>
      <c r="D22" s="440" t="str">
        <f t="shared" si="2"/>
        <v>Висока вероватноћа</v>
      </c>
      <c r="E22" s="590">
        <v>3</v>
      </c>
      <c r="F22" s="440" t="str">
        <f t="shared" si="3"/>
        <v>Висок утицај</v>
      </c>
      <c r="G22" s="441">
        <f t="shared" si="0"/>
        <v>9</v>
      </c>
      <c r="H22" s="440" t="str">
        <f t="shared" si="1"/>
        <v>Критичан ризик</v>
      </c>
      <c r="I22" s="444"/>
      <c r="J22" s="594" t="s">
        <v>929</v>
      </c>
    </row>
    <row r="23" spans="1:10" x14ac:dyDescent="0.25">
      <c r="A23" s="431"/>
      <c r="B23" s="584" t="s">
        <v>916</v>
      </c>
      <c r="C23" s="583">
        <v>3</v>
      </c>
      <c r="D23" s="440" t="str">
        <f t="shared" si="2"/>
        <v>Висока вероватноћа</v>
      </c>
      <c r="E23" s="590">
        <v>3</v>
      </c>
      <c r="F23" s="440" t="str">
        <f t="shared" si="3"/>
        <v>Висок утицај</v>
      </c>
      <c r="G23" s="441">
        <f t="shared" si="0"/>
        <v>9</v>
      </c>
      <c r="H23" s="440" t="str">
        <f t="shared" si="1"/>
        <v>Критичан ризик</v>
      </c>
      <c r="I23" s="444"/>
      <c r="J23" s="592" t="s">
        <v>930</v>
      </c>
    </row>
    <row r="24" spans="1:10" ht="28.5" x14ac:dyDescent="0.25">
      <c r="A24" s="431"/>
      <c r="B24" s="588" t="s">
        <v>917</v>
      </c>
      <c r="C24" s="583">
        <v>3</v>
      </c>
      <c r="D24" s="440" t="str">
        <f t="shared" si="2"/>
        <v>Висока вероватноћа</v>
      </c>
      <c r="E24" s="590">
        <v>3</v>
      </c>
      <c r="F24" s="440" t="str">
        <f t="shared" si="3"/>
        <v>Висок утицај</v>
      </c>
      <c r="G24" s="441">
        <f t="shared" si="0"/>
        <v>9</v>
      </c>
      <c r="H24" s="440" t="str">
        <f t="shared" si="1"/>
        <v>Критичан ризик</v>
      </c>
      <c r="I24" s="444"/>
      <c r="J24" s="593" t="s">
        <v>931</v>
      </c>
    </row>
    <row r="25" spans="1:10" x14ac:dyDescent="0.25">
      <c r="A25" s="431"/>
      <c r="B25" s="443"/>
      <c r="C25" s="437"/>
      <c r="D25" s="440" t="str">
        <f t="shared" si="2"/>
        <v xml:space="preserve"> </v>
      </c>
      <c r="E25" s="439"/>
      <c r="F25" s="440" t="str">
        <f t="shared" si="3"/>
        <v xml:space="preserve"> </v>
      </c>
      <c r="G25" s="441" t="str">
        <f t="shared" si="0"/>
        <v xml:space="preserve"> </v>
      </c>
      <c r="H25" s="440" t="str">
        <f t="shared" si="1"/>
        <v xml:space="preserve"> </v>
      </c>
      <c r="I25" s="444"/>
      <c r="J25" s="421"/>
    </row>
    <row r="26" spans="1:10" x14ac:dyDescent="0.25">
      <c r="A26" s="431"/>
      <c r="B26" s="443"/>
      <c r="C26" s="437"/>
      <c r="D26" s="440" t="str">
        <f t="shared" si="2"/>
        <v xml:space="preserve"> </v>
      </c>
      <c r="E26" s="439"/>
      <c r="F26" s="440" t="str">
        <f t="shared" si="3"/>
        <v xml:space="preserve"> </v>
      </c>
      <c r="G26" s="441" t="str">
        <f t="shared" si="0"/>
        <v xml:space="preserve"> </v>
      </c>
      <c r="H26" s="440" t="str">
        <f t="shared" si="1"/>
        <v xml:space="preserve"> </v>
      </c>
      <c r="I26" s="444"/>
      <c r="J26" s="421"/>
    </row>
    <row r="27" spans="1:10" x14ac:dyDescent="0.25">
      <c r="A27" s="431"/>
      <c r="B27" s="443"/>
      <c r="C27" s="437"/>
      <c r="D27" s="440" t="str">
        <f t="shared" si="2"/>
        <v xml:space="preserve"> </v>
      </c>
      <c r="E27" s="439"/>
      <c r="F27" s="440" t="str">
        <f t="shared" si="3"/>
        <v xml:space="preserve"> </v>
      </c>
      <c r="G27" s="441" t="str">
        <f t="shared" si="0"/>
        <v xml:space="preserve"> </v>
      </c>
      <c r="H27" s="440" t="str">
        <f t="shared" si="1"/>
        <v xml:space="preserve"> </v>
      </c>
      <c r="I27" s="444"/>
      <c r="J27" s="421"/>
    </row>
    <row r="30" spans="1:10" x14ac:dyDescent="0.25">
      <c r="B30" s="445" t="s">
        <v>220</v>
      </c>
      <c r="C30" s="446"/>
      <c r="D30" s="447"/>
      <c r="E30" s="447"/>
      <c r="F30" s="447"/>
    </row>
    <row r="31" spans="1:10" x14ac:dyDescent="0.25">
      <c r="B31" s="446" t="s">
        <v>736</v>
      </c>
      <c r="C31" s="446"/>
      <c r="D31" s="447"/>
      <c r="E31" s="447"/>
      <c r="F31" s="447"/>
    </row>
    <row r="32" spans="1:10" x14ac:dyDescent="0.25">
      <c r="B32" s="446" t="s">
        <v>737</v>
      </c>
      <c r="C32" s="446"/>
      <c r="D32" s="447"/>
      <c r="E32" s="447"/>
      <c r="F32" s="447"/>
    </row>
    <row r="33" spans="2:6" x14ac:dyDescent="0.25">
      <c r="B33" s="446" t="s">
        <v>738</v>
      </c>
      <c r="C33" s="446"/>
      <c r="D33" s="447"/>
      <c r="E33" s="447"/>
      <c r="F33" s="447"/>
    </row>
    <row r="34" spans="2:6" x14ac:dyDescent="0.25">
      <c r="B34" s="446" t="s">
        <v>739</v>
      </c>
      <c r="C34" s="446"/>
      <c r="D34" s="447"/>
      <c r="E34" s="447"/>
      <c r="F34" s="447"/>
    </row>
    <row r="35" spans="2:6" x14ac:dyDescent="0.25">
      <c r="B35" s="446"/>
      <c r="C35" s="446"/>
      <c r="D35" s="447"/>
      <c r="E35" s="447"/>
      <c r="F35" s="447"/>
    </row>
    <row r="36" spans="2:6" x14ac:dyDescent="0.25">
      <c r="B36" s="446" t="s">
        <v>740</v>
      </c>
      <c r="C36" s="446"/>
      <c r="D36" s="447"/>
      <c r="E36" s="447"/>
      <c r="F36" s="447"/>
    </row>
    <row r="37" spans="2:6" x14ac:dyDescent="0.25">
      <c r="B37" s="446" t="s">
        <v>741</v>
      </c>
      <c r="C37" s="446"/>
      <c r="D37" s="447"/>
      <c r="E37" s="447"/>
      <c r="F37" s="447"/>
    </row>
    <row r="38" spans="2:6" x14ac:dyDescent="0.25">
      <c r="B38" s="446" t="s">
        <v>742</v>
      </c>
      <c r="C38" s="446"/>
      <c r="D38" s="447"/>
      <c r="E38" s="447"/>
      <c r="F38" s="447"/>
    </row>
    <row r="39" spans="2:6" x14ac:dyDescent="0.25">
      <c r="B39" s="446" t="s">
        <v>743</v>
      </c>
      <c r="C39" s="446"/>
      <c r="D39" s="447"/>
      <c r="E39" s="447"/>
      <c r="F39" s="447"/>
    </row>
    <row r="40" spans="2:6" x14ac:dyDescent="0.25">
      <c r="B40" s="446"/>
      <c r="C40" s="446"/>
      <c r="D40" s="447"/>
      <c r="E40" s="447"/>
      <c r="F40" s="447"/>
    </row>
    <row r="41" spans="2:6" x14ac:dyDescent="0.25">
      <c r="B41" s="446" t="s">
        <v>744</v>
      </c>
      <c r="C41" s="446"/>
      <c r="D41" s="447"/>
      <c r="E41" s="447"/>
      <c r="F41" s="447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G50"/>
  <sheetViews>
    <sheetView showGridLines="0" topLeftCell="A13" workbookViewId="0">
      <selection activeCell="E42" sqref="E42"/>
    </sheetView>
  </sheetViews>
  <sheetFormatPr defaultRowHeight="12.75" x14ac:dyDescent="0.2"/>
  <cols>
    <col min="1" max="1" width="41.42578125" style="452" customWidth="1"/>
    <col min="2" max="2" width="20.85546875" style="452" customWidth="1"/>
    <col min="3" max="6" width="13.28515625" style="452" customWidth="1"/>
    <col min="7" max="16384" width="9.140625" style="452"/>
  </cols>
  <sheetData>
    <row r="1" spans="1:6" x14ac:dyDescent="0.2">
      <c r="E1" s="715" t="s">
        <v>750</v>
      </c>
      <c r="F1" s="715"/>
    </row>
    <row r="2" spans="1:6" x14ac:dyDescent="0.2">
      <c r="E2" s="453"/>
    </row>
    <row r="3" spans="1:6" ht="15.75" x14ac:dyDescent="0.25">
      <c r="A3" s="683" t="s">
        <v>352</v>
      </c>
      <c r="B3" s="683"/>
      <c r="C3" s="683"/>
      <c r="D3" s="683"/>
      <c r="E3" s="683"/>
      <c r="F3" s="683"/>
    </row>
    <row r="5" spans="1:6" x14ac:dyDescent="0.2">
      <c r="F5" s="453" t="s">
        <v>198</v>
      </c>
    </row>
    <row r="6" spans="1:6" ht="30.75" customHeight="1" thickBot="1" x14ac:dyDescent="0.25">
      <c r="A6" s="454"/>
      <c r="B6" s="455"/>
      <c r="C6" s="456" t="s">
        <v>713</v>
      </c>
      <c r="D6" s="456" t="s">
        <v>749</v>
      </c>
      <c r="E6" s="456" t="s">
        <v>758</v>
      </c>
      <c r="F6" s="457" t="s">
        <v>793</v>
      </c>
    </row>
    <row r="7" spans="1:6" ht="13.5" thickTop="1" x14ac:dyDescent="0.2">
      <c r="A7" s="458" t="s">
        <v>363</v>
      </c>
      <c r="B7" s="459" t="s">
        <v>209</v>
      </c>
      <c r="C7" s="461">
        <v>803</v>
      </c>
      <c r="D7" s="461">
        <v>703</v>
      </c>
      <c r="E7" s="461">
        <v>1797</v>
      </c>
      <c r="F7" s="461">
        <v>0</v>
      </c>
    </row>
    <row r="8" spans="1:6" ht="13.5" thickBot="1" x14ac:dyDescent="0.25">
      <c r="A8" s="462"/>
      <c r="B8" s="463" t="s">
        <v>210</v>
      </c>
      <c r="C8" s="464">
        <v>203</v>
      </c>
      <c r="D8" s="464">
        <v>203</v>
      </c>
      <c r="E8" s="464">
        <v>0</v>
      </c>
      <c r="F8" s="464" t="s">
        <v>211</v>
      </c>
    </row>
    <row r="9" spans="1:6" x14ac:dyDescent="0.2">
      <c r="A9" s="465"/>
      <c r="B9" s="466" t="s">
        <v>364</v>
      </c>
      <c r="C9" s="467">
        <f>IFERROR(C8/C7-1,0)</f>
        <v>-0.74719800747198006</v>
      </c>
      <c r="D9" s="467">
        <f>IFERROR(D8/D7-1,0)</f>
        <v>-0.71123755334281658</v>
      </c>
      <c r="E9" s="468" t="s">
        <v>211</v>
      </c>
      <c r="F9" s="468" t="s">
        <v>211</v>
      </c>
    </row>
    <row r="10" spans="1:6" ht="13.5" thickBot="1" x14ac:dyDescent="0.25">
      <c r="A10" s="712" t="s">
        <v>365</v>
      </c>
      <c r="B10" s="713"/>
      <c r="C10" s="469">
        <f>IFERROR(C8/B8-1,0)</f>
        <v>0</v>
      </c>
      <c r="D10" s="469">
        <f>IFERROR(D8/C8-1,0)</f>
        <v>0</v>
      </c>
      <c r="E10" s="469">
        <f>IFERROR(E7/D8-1,0)</f>
        <v>7.8522167487684733</v>
      </c>
      <c r="F10" s="469">
        <f>IFERROR(F7/E8-1,0)</f>
        <v>0</v>
      </c>
    </row>
    <row r="11" spans="1:6" ht="13.5" thickTop="1" x14ac:dyDescent="0.2">
      <c r="A11" s="458" t="s">
        <v>366</v>
      </c>
      <c r="B11" s="459" t="s">
        <v>209</v>
      </c>
      <c r="C11" s="460">
        <v>622281</v>
      </c>
      <c r="D11" s="460">
        <v>203564</v>
      </c>
      <c r="E11" s="460">
        <v>159166</v>
      </c>
      <c r="F11" s="460">
        <v>175121</v>
      </c>
    </row>
    <row r="12" spans="1:6" ht="13.5" thickBot="1" x14ac:dyDescent="0.25">
      <c r="A12" s="462"/>
      <c r="B12" s="463" t="s">
        <v>210</v>
      </c>
      <c r="C12" s="464">
        <v>610721</v>
      </c>
      <c r="D12" s="464">
        <v>277043</v>
      </c>
      <c r="E12" s="464">
        <v>245533</v>
      </c>
      <c r="F12" s="464" t="s">
        <v>211</v>
      </c>
    </row>
    <row r="13" spans="1:6" x14ac:dyDescent="0.2">
      <c r="A13" s="465"/>
      <c r="B13" s="466" t="s">
        <v>364</v>
      </c>
      <c r="C13" s="467">
        <f>IFERROR(C12/C11-1,0)</f>
        <v>-1.8576816582862032E-2</v>
      </c>
      <c r="D13" s="467">
        <f>IFERROR(D12/D11-1,0)</f>
        <v>0.36096264565443792</v>
      </c>
      <c r="E13" s="468" t="s">
        <v>211</v>
      </c>
      <c r="F13" s="468" t="s">
        <v>211</v>
      </c>
    </row>
    <row r="14" spans="1:6" ht="13.5" thickBot="1" x14ac:dyDescent="0.25">
      <c r="A14" s="712" t="s">
        <v>365</v>
      </c>
      <c r="B14" s="713"/>
      <c r="C14" s="469">
        <f>IFERROR(C12/B12-1,0)</f>
        <v>0</v>
      </c>
      <c r="D14" s="469">
        <f>IFERROR(D12/C12-1,0)</f>
        <v>-0.54636732648787256</v>
      </c>
      <c r="E14" s="469">
        <f>IFERROR(E11/D12-1,0)</f>
        <v>-0.42548268680313162</v>
      </c>
      <c r="F14" s="469">
        <f>IFERROR(F11/E12-1,0)</f>
        <v>-0.28677204286185565</v>
      </c>
    </row>
    <row r="15" spans="1:6" ht="13.5" thickTop="1" x14ac:dyDescent="0.2">
      <c r="A15" s="458" t="s">
        <v>208</v>
      </c>
      <c r="B15" s="459" t="s">
        <v>209</v>
      </c>
      <c r="C15" s="460">
        <v>386880</v>
      </c>
      <c r="D15" s="460">
        <v>672500</v>
      </c>
      <c r="E15" s="460">
        <v>1138847</v>
      </c>
      <c r="F15" s="460">
        <v>507869</v>
      </c>
    </row>
    <row r="16" spans="1:6" ht="13.5" thickBot="1" x14ac:dyDescent="0.25">
      <c r="A16" s="462"/>
      <c r="B16" s="463" t="s">
        <v>210</v>
      </c>
      <c r="C16" s="464">
        <v>306827</v>
      </c>
      <c r="D16" s="464">
        <v>438798</v>
      </c>
      <c r="E16" s="464">
        <v>308661</v>
      </c>
      <c r="F16" s="464" t="s">
        <v>211</v>
      </c>
    </row>
    <row r="17" spans="1:6" x14ac:dyDescent="0.2">
      <c r="A17" s="465"/>
      <c r="B17" s="466" t="s">
        <v>364</v>
      </c>
      <c r="C17" s="467">
        <f>IFERROR(C16/C15-1,0)</f>
        <v>-0.20691945822994207</v>
      </c>
      <c r="D17" s="467">
        <f>IFERROR(D16/D15-1,0)</f>
        <v>-0.34751226765799259</v>
      </c>
      <c r="E17" s="468" t="s">
        <v>211</v>
      </c>
      <c r="F17" s="468" t="s">
        <v>211</v>
      </c>
    </row>
    <row r="18" spans="1:6" ht="13.5" thickBot="1" x14ac:dyDescent="0.25">
      <c r="A18" s="712" t="s">
        <v>365</v>
      </c>
      <c r="B18" s="713"/>
      <c r="C18" s="469">
        <f>IFERROR(C16/B16-1,0)</f>
        <v>0</v>
      </c>
      <c r="D18" s="469">
        <f>IFERROR(D16/C16-1,0)</f>
        <v>0.43011534187017442</v>
      </c>
      <c r="E18" s="469">
        <f>IFERROR(E15/D16-1,0)</f>
        <v>1.5953787391920655</v>
      </c>
      <c r="F18" s="469">
        <f>IFERROR(F15/E16-1,0)</f>
        <v>0.64539413790533962</v>
      </c>
    </row>
    <row r="19" spans="1:6" ht="13.5" thickTop="1" x14ac:dyDescent="0.2">
      <c r="A19" s="458" t="s">
        <v>212</v>
      </c>
      <c r="B19" s="459" t="s">
        <v>209</v>
      </c>
      <c r="C19" s="460">
        <v>382280</v>
      </c>
      <c r="D19" s="460">
        <v>670600</v>
      </c>
      <c r="E19" s="460">
        <v>1136547</v>
      </c>
      <c r="F19" s="460">
        <v>505589</v>
      </c>
    </row>
    <row r="20" spans="1:6" ht="13.5" thickBot="1" x14ac:dyDescent="0.25">
      <c r="A20" s="462"/>
      <c r="B20" s="463" t="s">
        <v>210</v>
      </c>
      <c r="C20" s="464">
        <v>302881</v>
      </c>
      <c r="D20" s="464">
        <v>439898</v>
      </c>
      <c r="E20" s="464">
        <v>323534</v>
      </c>
      <c r="F20" s="464" t="s">
        <v>211</v>
      </c>
    </row>
    <row r="21" spans="1:6" x14ac:dyDescent="0.2">
      <c r="A21" s="465"/>
      <c r="B21" s="466" t="s">
        <v>364</v>
      </c>
      <c r="C21" s="467">
        <f>IFERROR(C20/C19-1,0)</f>
        <v>-0.20769854556869305</v>
      </c>
      <c r="D21" s="467">
        <f>IFERROR(D20/D19-1,0)</f>
        <v>-0.34402326274977635</v>
      </c>
      <c r="E21" s="468" t="s">
        <v>211</v>
      </c>
      <c r="F21" s="468" t="s">
        <v>211</v>
      </c>
    </row>
    <row r="22" spans="1:6" ht="13.5" thickBot="1" x14ac:dyDescent="0.25">
      <c r="A22" s="712" t="s">
        <v>365</v>
      </c>
      <c r="B22" s="713"/>
      <c r="C22" s="469">
        <f>IFERROR(C20/B20-1,0)</f>
        <v>0</v>
      </c>
      <c r="D22" s="469">
        <f>IFERROR(D20/C20-1,0)</f>
        <v>0.45237898712695745</v>
      </c>
      <c r="E22" s="469">
        <f>IFERROR(E19/D20-1,0)</f>
        <v>1.5836603030702574</v>
      </c>
      <c r="F22" s="469">
        <f>IFERROR(F19/E20-1,0)</f>
        <v>0.56270747433036394</v>
      </c>
    </row>
    <row r="23" spans="1:6" ht="13.5" thickTop="1" x14ac:dyDescent="0.2">
      <c r="A23" s="458" t="s">
        <v>213</v>
      </c>
      <c r="B23" s="459" t="s">
        <v>209</v>
      </c>
      <c r="C23" s="460">
        <f>C15-C19</f>
        <v>4600</v>
      </c>
      <c r="D23" s="460">
        <f>D15-D19</f>
        <v>1900</v>
      </c>
      <c r="E23" s="460">
        <v>2300</v>
      </c>
      <c r="F23" s="460">
        <f>F15-F19</f>
        <v>2280</v>
      </c>
    </row>
    <row r="24" spans="1:6" ht="13.5" thickBot="1" x14ac:dyDescent="0.25">
      <c r="A24" s="462"/>
      <c r="B24" s="463" t="s">
        <v>210</v>
      </c>
      <c r="C24" s="464">
        <v>3946</v>
      </c>
      <c r="D24" s="464">
        <v>-1100</v>
      </c>
      <c r="E24" s="464">
        <v>-14873</v>
      </c>
      <c r="F24" s="464" t="s">
        <v>211</v>
      </c>
    </row>
    <row r="25" spans="1:6" x14ac:dyDescent="0.2">
      <c r="A25" s="465"/>
      <c r="B25" s="466" t="s">
        <v>364</v>
      </c>
      <c r="C25" s="467">
        <f>IFERROR(C24/C23-1,0)</f>
        <v>-0.14217391304347826</v>
      </c>
      <c r="D25" s="467">
        <f>IFERROR(D24/D23-1,0)</f>
        <v>-1.5789473684210527</v>
      </c>
      <c r="E25" s="468" t="s">
        <v>211</v>
      </c>
      <c r="F25" s="468" t="s">
        <v>211</v>
      </c>
    </row>
    <row r="26" spans="1:6" ht="13.5" thickBot="1" x14ac:dyDescent="0.25">
      <c r="A26" s="712" t="s">
        <v>365</v>
      </c>
      <c r="B26" s="713"/>
      <c r="C26" s="469">
        <f>IFERROR(C24/B24-1,0)</f>
        <v>0</v>
      </c>
      <c r="D26" s="469">
        <f>IFERROR(D24/C24-1,0)</f>
        <v>-1.2787633046122655</v>
      </c>
      <c r="E26" s="469">
        <f>IFERROR(E23/D24-1,0)</f>
        <v>-3.0909090909090908</v>
      </c>
      <c r="F26" s="469">
        <f>IFERROR(F23/E24-1,0)</f>
        <v>-1.1532979224097357</v>
      </c>
    </row>
    <row r="27" spans="1:6" ht="13.5" thickTop="1" x14ac:dyDescent="0.2">
      <c r="A27" s="470" t="s">
        <v>214</v>
      </c>
      <c r="B27" s="459" t="s">
        <v>209</v>
      </c>
      <c r="C27" s="460">
        <v>600</v>
      </c>
      <c r="D27" s="460">
        <v>500</v>
      </c>
      <c r="E27" s="460">
        <v>1100</v>
      </c>
      <c r="F27" s="460">
        <v>350</v>
      </c>
    </row>
    <row r="28" spans="1:6" ht="13.5" thickBot="1" x14ac:dyDescent="0.25">
      <c r="A28" s="462"/>
      <c r="B28" s="463" t="s">
        <v>210</v>
      </c>
      <c r="C28" s="464">
        <v>0</v>
      </c>
      <c r="D28" s="464">
        <v>0</v>
      </c>
      <c r="E28" s="464">
        <v>-12284</v>
      </c>
      <c r="F28" s="464" t="s">
        <v>211</v>
      </c>
    </row>
    <row r="29" spans="1:6" x14ac:dyDescent="0.2">
      <c r="A29" s="465"/>
      <c r="B29" s="466" t="s">
        <v>364</v>
      </c>
      <c r="C29" s="467">
        <f>IFERROR(C28/C27-1,0)</f>
        <v>-1</v>
      </c>
      <c r="D29" s="467">
        <f>IFERROR(D28/D27-1,0)</f>
        <v>-1</v>
      </c>
      <c r="E29" s="468" t="s">
        <v>211</v>
      </c>
      <c r="F29" s="468" t="s">
        <v>211</v>
      </c>
    </row>
    <row r="30" spans="1:6" ht="13.5" thickBot="1" x14ac:dyDescent="0.25">
      <c r="A30" s="712" t="s">
        <v>365</v>
      </c>
      <c r="B30" s="713"/>
      <c r="C30" s="469">
        <f>IFERROR(C28/B28-1,0)</f>
        <v>0</v>
      </c>
      <c r="D30" s="469">
        <f>IFERROR(D28/C28-1,0)</f>
        <v>0</v>
      </c>
      <c r="E30" s="469">
        <f>IFERROR(E27/D28-1,0)</f>
        <v>0</v>
      </c>
      <c r="F30" s="469">
        <f>IFERROR(F27/E28-1,0)</f>
        <v>-1.0284923477694563</v>
      </c>
    </row>
    <row r="31" spans="1:6" ht="9" customHeight="1" thickTop="1" thickBot="1" x14ac:dyDescent="0.25">
      <c r="A31" s="471"/>
      <c r="B31" s="472"/>
      <c r="C31" s="473"/>
      <c r="D31" s="473"/>
      <c r="E31" s="474"/>
      <c r="F31" s="474"/>
    </row>
    <row r="32" spans="1:6" ht="13.5" thickTop="1" x14ac:dyDescent="0.2">
      <c r="A32" s="458" t="s">
        <v>215</v>
      </c>
      <c r="B32" s="459" t="s">
        <v>209</v>
      </c>
      <c r="C32" s="461">
        <v>17</v>
      </c>
      <c r="D32" s="461">
        <v>17</v>
      </c>
      <c r="E32" s="461">
        <v>17</v>
      </c>
      <c r="F32" s="461">
        <v>12</v>
      </c>
    </row>
    <row r="33" spans="1:7" ht="13.5" thickBot="1" x14ac:dyDescent="0.25">
      <c r="A33" s="462"/>
      <c r="B33" s="463" t="s">
        <v>210</v>
      </c>
      <c r="C33" s="475">
        <v>15</v>
      </c>
      <c r="D33" s="475">
        <v>15</v>
      </c>
      <c r="E33" s="475">
        <v>11</v>
      </c>
      <c r="F33" s="475" t="s">
        <v>211</v>
      </c>
    </row>
    <row r="34" spans="1:7" x14ac:dyDescent="0.2">
      <c r="A34" s="465"/>
      <c r="B34" s="466" t="s">
        <v>364</v>
      </c>
      <c r="C34" s="467">
        <f>IFERROR(C33/C32-1,0)</f>
        <v>-0.11764705882352944</v>
      </c>
      <c r="D34" s="467">
        <f>IFERROR(D33/D32-1,0)</f>
        <v>-0.11764705882352944</v>
      </c>
      <c r="E34" s="468" t="s">
        <v>211</v>
      </c>
      <c r="F34" s="468" t="s">
        <v>211</v>
      </c>
    </row>
    <row r="35" spans="1:7" ht="13.5" thickBot="1" x14ac:dyDescent="0.25">
      <c r="A35" s="712" t="s">
        <v>365</v>
      </c>
      <c r="B35" s="713"/>
      <c r="C35" s="469">
        <f>IFERROR(C33/B33-1,0)</f>
        <v>0</v>
      </c>
      <c r="D35" s="469">
        <f>IFERROR(D33/C33-1,0)</f>
        <v>0</v>
      </c>
      <c r="E35" s="469">
        <f>IFERROR(E32/D33-1,0)</f>
        <v>0.1333333333333333</v>
      </c>
      <c r="F35" s="469">
        <f>IFERROR(F32/E33-1,0)</f>
        <v>9.0909090909090828E-2</v>
      </c>
    </row>
    <row r="36" spans="1:7" ht="13.5" thickTop="1" x14ac:dyDescent="0.2">
      <c r="A36" s="458" t="s">
        <v>216</v>
      </c>
      <c r="B36" s="459" t="s">
        <v>209</v>
      </c>
      <c r="C36" s="461">
        <v>81</v>
      </c>
      <c r="D36" s="461">
        <v>91</v>
      </c>
      <c r="E36" s="461">
        <v>103</v>
      </c>
      <c r="F36" s="461">
        <v>121</v>
      </c>
    </row>
    <row r="37" spans="1:7" ht="13.5" thickBot="1" x14ac:dyDescent="0.25">
      <c r="A37" s="462"/>
      <c r="B37" s="463" t="s">
        <v>210</v>
      </c>
      <c r="C37" s="475">
        <v>79</v>
      </c>
      <c r="D37" s="475">
        <v>91</v>
      </c>
      <c r="E37" s="475">
        <v>100</v>
      </c>
      <c r="F37" s="475" t="s">
        <v>211</v>
      </c>
    </row>
    <row r="38" spans="1:7" x14ac:dyDescent="0.2">
      <c r="A38" s="465"/>
      <c r="B38" s="466" t="s">
        <v>364</v>
      </c>
      <c r="C38" s="467">
        <f>IFERROR(C37/C36-1,0)</f>
        <v>-2.4691358024691357E-2</v>
      </c>
      <c r="D38" s="467">
        <f>IFERROR(D37/D36-1,0)</f>
        <v>0</v>
      </c>
      <c r="E38" s="468" t="s">
        <v>211</v>
      </c>
      <c r="F38" s="468" t="s">
        <v>211</v>
      </c>
    </row>
    <row r="39" spans="1:7" ht="13.5" thickBot="1" x14ac:dyDescent="0.25">
      <c r="A39" s="712" t="s">
        <v>365</v>
      </c>
      <c r="B39" s="713"/>
      <c r="C39" s="469">
        <f>IFERROR(C37/B37-1,0)</f>
        <v>0</v>
      </c>
      <c r="D39" s="469">
        <f>IFERROR(D37/C37-1,0)</f>
        <v>0.15189873417721511</v>
      </c>
      <c r="E39" s="469">
        <f>IFERROR(E36/D37-1,0)</f>
        <v>0.13186813186813184</v>
      </c>
      <c r="F39" s="469">
        <f>IFERROR(F36/E37-1,0)</f>
        <v>0.20999999999999996</v>
      </c>
    </row>
    <row r="40" spans="1:7" ht="9" customHeight="1" thickTop="1" thickBot="1" x14ac:dyDescent="0.25">
      <c r="A40" s="471"/>
      <c r="B40" s="472"/>
      <c r="C40" s="473"/>
      <c r="D40" s="473"/>
      <c r="E40" s="474"/>
      <c r="F40" s="474"/>
    </row>
    <row r="41" spans="1:7" ht="13.5" thickTop="1" x14ac:dyDescent="0.2">
      <c r="A41" s="458" t="s">
        <v>367</v>
      </c>
      <c r="B41" s="459" t="s">
        <v>209</v>
      </c>
      <c r="C41" s="461">
        <v>230290</v>
      </c>
      <c r="D41" s="461">
        <v>425000</v>
      </c>
      <c r="E41" s="461">
        <v>937597</v>
      </c>
      <c r="F41" s="461">
        <v>361661</v>
      </c>
    </row>
    <row r="42" spans="1:7" ht="13.5" thickBot="1" x14ac:dyDescent="0.25">
      <c r="A42" s="462"/>
      <c r="B42" s="463" t="s">
        <v>210</v>
      </c>
      <c r="C42" s="475">
        <v>216918</v>
      </c>
      <c r="D42" s="475">
        <v>303177</v>
      </c>
      <c r="E42" s="475">
        <v>227234</v>
      </c>
      <c r="F42" s="475" t="s">
        <v>211</v>
      </c>
    </row>
    <row r="43" spans="1:7" x14ac:dyDescent="0.2">
      <c r="A43" s="465"/>
      <c r="B43" s="466" t="s">
        <v>364</v>
      </c>
      <c r="C43" s="467">
        <f>IFERROR(C42/C41-1,0)</f>
        <v>-5.8065916887402813E-2</v>
      </c>
      <c r="D43" s="467">
        <f>IFERROR(D42/D41-1,0)</f>
        <v>-0.28664235294117646</v>
      </c>
      <c r="E43" s="468" t="s">
        <v>211</v>
      </c>
      <c r="F43" s="468" t="s">
        <v>211</v>
      </c>
    </row>
    <row r="44" spans="1:7" ht="13.5" thickBot="1" x14ac:dyDescent="0.25">
      <c r="A44" s="712" t="s">
        <v>365</v>
      </c>
      <c r="B44" s="713"/>
      <c r="C44" s="469">
        <f>IFERROR(C42/B42-1,0)</f>
        <v>0</v>
      </c>
      <c r="D44" s="469">
        <f>IFERROR(D42/C42-1,0)</f>
        <v>0.39765717921057719</v>
      </c>
      <c r="E44" s="469">
        <f>IFERROR(E41/D42-1,0)</f>
        <v>2.092572985417759</v>
      </c>
      <c r="F44" s="469">
        <f>IFERROR(F41/E42-1,0)</f>
        <v>0.59157960516471997</v>
      </c>
    </row>
    <row r="45" spans="1:7" ht="13.5" thickTop="1" x14ac:dyDescent="0.2"/>
    <row r="46" spans="1:7" ht="15.75" customHeight="1" x14ac:dyDescent="0.2">
      <c r="A46" s="714" t="s">
        <v>878</v>
      </c>
      <c r="B46" s="714"/>
      <c r="C46" s="714"/>
      <c r="D46" s="714"/>
      <c r="E46" s="714"/>
      <c r="F46" s="714"/>
      <c r="G46" s="476"/>
    </row>
    <row r="47" spans="1:7" x14ac:dyDescent="0.2">
      <c r="A47" s="714"/>
      <c r="B47" s="714"/>
      <c r="C47" s="714"/>
      <c r="D47" s="714"/>
      <c r="E47" s="714"/>
      <c r="F47" s="714"/>
      <c r="G47" s="476"/>
    </row>
    <row r="48" spans="1:7" x14ac:dyDescent="0.2">
      <c r="A48" s="714"/>
      <c r="B48" s="714"/>
      <c r="C48" s="714"/>
      <c r="D48" s="714"/>
      <c r="E48" s="714"/>
      <c r="F48" s="714"/>
    </row>
    <row r="50" spans="1:1" x14ac:dyDescent="0.2">
      <c r="A50" s="452" t="s">
        <v>368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workbookViewId="0">
      <selection activeCell="E4" sqref="E4:F10"/>
    </sheetView>
  </sheetViews>
  <sheetFormatPr defaultRowHeight="12.75" x14ac:dyDescent="0.2"/>
  <cols>
    <col min="1" max="1" width="23.85546875" style="452" customWidth="1"/>
    <col min="2" max="2" width="16.85546875" style="452" customWidth="1"/>
    <col min="3" max="6" width="15.7109375" style="452" customWidth="1"/>
    <col min="7" max="16384" width="9.140625" style="452"/>
  </cols>
  <sheetData>
    <row r="1" spans="1:6" x14ac:dyDescent="0.2">
      <c r="F1" s="39"/>
    </row>
    <row r="2" spans="1:6" ht="13.5" thickBot="1" x14ac:dyDescent="0.25">
      <c r="C2" s="477"/>
      <c r="D2" s="477"/>
      <c r="E2" s="477"/>
      <c r="F2" s="477"/>
    </row>
    <row r="3" spans="1:6" ht="47.25" customHeight="1" thickBot="1" x14ac:dyDescent="0.25">
      <c r="A3" s="477"/>
      <c r="B3" s="478"/>
      <c r="C3" s="479" t="s">
        <v>797</v>
      </c>
      <c r="D3" s="479" t="s">
        <v>812</v>
      </c>
      <c r="E3" s="480" t="s">
        <v>813</v>
      </c>
      <c r="F3" s="481" t="s">
        <v>814</v>
      </c>
    </row>
    <row r="4" spans="1:6" ht="15" customHeight="1" x14ac:dyDescent="0.2">
      <c r="A4" s="719" t="s">
        <v>217</v>
      </c>
      <c r="B4" s="720"/>
      <c r="C4" s="482">
        <v>1174</v>
      </c>
      <c r="D4" s="482">
        <v>1062</v>
      </c>
      <c r="E4" s="948">
        <v>662</v>
      </c>
      <c r="F4" s="948">
        <v>1150</v>
      </c>
    </row>
    <row r="5" spans="1:6" ht="15" customHeight="1" x14ac:dyDescent="0.2">
      <c r="A5" s="721" t="s">
        <v>369</v>
      </c>
      <c r="B5" s="722"/>
      <c r="C5" s="484">
        <v>0</v>
      </c>
      <c r="D5" s="484">
        <v>0</v>
      </c>
      <c r="E5" s="949">
        <v>5.0030000000000001</v>
      </c>
      <c r="F5" s="949">
        <v>0.19989999999999999</v>
      </c>
    </row>
    <row r="6" spans="1:6" ht="15" customHeight="1" x14ac:dyDescent="0.2">
      <c r="A6" s="721" t="s">
        <v>370</v>
      </c>
      <c r="B6" s="722"/>
      <c r="C6" s="484">
        <v>0</v>
      </c>
      <c r="D6" s="484">
        <v>0</v>
      </c>
      <c r="E6" s="949">
        <v>0</v>
      </c>
      <c r="F6" s="949">
        <v>0</v>
      </c>
    </row>
    <row r="7" spans="1:6" ht="15" customHeight="1" x14ac:dyDescent="0.2">
      <c r="A7" s="721" t="s">
        <v>371</v>
      </c>
      <c r="B7" s="722"/>
      <c r="C7" s="484">
        <v>-4137</v>
      </c>
      <c r="D7" s="484">
        <v>927</v>
      </c>
      <c r="E7" s="949">
        <v>273</v>
      </c>
      <c r="F7" s="949">
        <v>350</v>
      </c>
    </row>
    <row r="8" spans="1:6" ht="15" customHeight="1" x14ac:dyDescent="0.2">
      <c r="A8" s="721" t="s">
        <v>219</v>
      </c>
      <c r="B8" s="722"/>
      <c r="C8" s="483">
        <v>124159.11</v>
      </c>
      <c r="D8" s="483">
        <v>136374.39000000001</v>
      </c>
      <c r="E8" s="950">
        <v>0</v>
      </c>
      <c r="F8" s="950">
        <v>0</v>
      </c>
    </row>
    <row r="9" spans="1:6" ht="15" customHeight="1" x14ac:dyDescent="0.2">
      <c r="A9" s="721" t="s">
        <v>218</v>
      </c>
      <c r="B9" s="722"/>
      <c r="C9" s="483">
        <v>98.49</v>
      </c>
      <c r="D9" s="483">
        <v>98.84</v>
      </c>
      <c r="E9" s="950">
        <v>93.92</v>
      </c>
      <c r="F9" s="950">
        <v>92.04</v>
      </c>
    </row>
    <row r="10" spans="1:6" ht="15" customHeight="1" thickBot="1" x14ac:dyDescent="0.25">
      <c r="A10" s="723" t="s">
        <v>372</v>
      </c>
      <c r="B10" s="724"/>
      <c r="C10" s="486">
        <v>8.36</v>
      </c>
      <c r="D10" s="486">
        <v>6.18</v>
      </c>
      <c r="E10" s="951">
        <v>9.14</v>
      </c>
      <c r="F10" s="951">
        <v>6.39</v>
      </c>
    </row>
    <row r="11" spans="1:6" x14ac:dyDescent="0.2">
      <c r="A11" s="487"/>
      <c r="B11" s="487"/>
      <c r="C11" s="487"/>
      <c r="D11" s="487"/>
      <c r="E11" s="487"/>
      <c r="F11" s="487"/>
    </row>
    <row r="12" spans="1:6" ht="13.5" thickBot="1" x14ac:dyDescent="0.25">
      <c r="C12" s="477"/>
      <c r="D12" s="477"/>
      <c r="E12" s="477"/>
      <c r="F12" s="488" t="s">
        <v>198</v>
      </c>
    </row>
    <row r="13" spans="1:6" ht="39.75" customHeight="1" thickBot="1" x14ac:dyDescent="0.25">
      <c r="A13" s="477"/>
      <c r="B13" s="478"/>
      <c r="C13" s="489" t="s">
        <v>794</v>
      </c>
      <c r="D13" s="489" t="s">
        <v>798</v>
      </c>
      <c r="E13" s="489" t="s">
        <v>815</v>
      </c>
      <c r="F13" s="489" t="s">
        <v>816</v>
      </c>
    </row>
    <row r="14" spans="1:6" ht="15" customHeight="1" x14ac:dyDescent="0.2">
      <c r="A14" s="727" t="s">
        <v>373</v>
      </c>
      <c r="B14" s="728"/>
      <c r="C14" s="482"/>
      <c r="D14" s="482"/>
      <c r="E14" s="482">
        <v>30000</v>
      </c>
      <c r="F14" s="490">
        <v>0</v>
      </c>
    </row>
    <row r="15" spans="1:6" ht="15" customHeight="1" x14ac:dyDescent="0.2">
      <c r="A15" s="729" t="s">
        <v>374</v>
      </c>
      <c r="B15" s="730"/>
      <c r="C15" s="491"/>
      <c r="D15" s="491"/>
      <c r="E15" s="491"/>
      <c r="F15" s="492"/>
    </row>
    <row r="16" spans="1:6" ht="15" customHeight="1" thickBot="1" x14ac:dyDescent="0.25">
      <c r="A16" s="731" t="s">
        <v>276</v>
      </c>
      <c r="B16" s="732"/>
      <c r="C16" s="493">
        <f>SUM(C14:C15)</f>
        <v>0</v>
      </c>
      <c r="D16" s="493">
        <f>SUM(D14:D15)</f>
        <v>0</v>
      </c>
      <c r="E16" s="493">
        <f>SUM(E14:E15)</f>
        <v>30000</v>
      </c>
      <c r="F16" s="493">
        <f>SUM(F14:F15)</f>
        <v>0</v>
      </c>
    </row>
    <row r="17" spans="1:6" s="497" customFormat="1" x14ac:dyDescent="0.2">
      <c r="A17" s="494"/>
      <c r="B17" s="495"/>
      <c r="C17" s="496"/>
      <c r="D17" s="496"/>
      <c r="E17" s="496"/>
      <c r="F17" s="496"/>
    </row>
    <row r="18" spans="1:6" s="497" customFormat="1" ht="13.5" thickBot="1" x14ac:dyDescent="0.25">
      <c r="B18" s="498"/>
      <c r="C18" s="499"/>
      <c r="D18" s="499"/>
      <c r="E18" s="499"/>
      <c r="F18" s="488" t="s">
        <v>198</v>
      </c>
    </row>
    <row r="19" spans="1:6" ht="30" customHeight="1" thickBot="1" x14ac:dyDescent="0.25">
      <c r="A19" s="477"/>
      <c r="B19" s="500"/>
      <c r="C19" s="501" t="s">
        <v>713</v>
      </c>
      <c r="D19" s="501" t="s">
        <v>749</v>
      </c>
      <c r="E19" s="501" t="s">
        <v>758</v>
      </c>
      <c r="F19" s="502" t="s">
        <v>814</v>
      </c>
    </row>
    <row r="20" spans="1:6" ht="15" customHeight="1" x14ac:dyDescent="0.2">
      <c r="A20" s="733" t="s">
        <v>228</v>
      </c>
      <c r="B20" s="503" t="s">
        <v>209</v>
      </c>
      <c r="C20" s="595">
        <v>67800</v>
      </c>
      <c r="D20" s="504">
        <v>93000</v>
      </c>
      <c r="E20" s="504">
        <v>101000</v>
      </c>
      <c r="F20" s="504">
        <v>76558</v>
      </c>
    </row>
    <row r="21" spans="1:6" ht="15" customHeight="1" x14ac:dyDescent="0.2">
      <c r="A21" s="717"/>
      <c r="B21" s="505" t="s">
        <v>377</v>
      </c>
      <c r="C21" s="506">
        <v>64351</v>
      </c>
      <c r="D21" s="506">
        <v>83954</v>
      </c>
      <c r="E21" s="506">
        <v>45730</v>
      </c>
      <c r="F21" s="506" t="s">
        <v>211</v>
      </c>
    </row>
    <row r="22" spans="1:6" ht="15" customHeight="1" thickBot="1" x14ac:dyDescent="0.25">
      <c r="A22" s="718"/>
      <c r="B22" s="507" t="s">
        <v>390</v>
      </c>
      <c r="C22" s="509">
        <v>71045</v>
      </c>
      <c r="D22" s="509">
        <v>83954</v>
      </c>
      <c r="E22" s="509">
        <v>45730</v>
      </c>
      <c r="F22" s="509" t="s">
        <v>211</v>
      </c>
    </row>
    <row r="23" spans="1:6" ht="15" customHeight="1" x14ac:dyDescent="0.2">
      <c r="A23" s="717" t="s">
        <v>375</v>
      </c>
      <c r="B23" s="510" t="s">
        <v>209</v>
      </c>
      <c r="C23" s="511">
        <v>305000</v>
      </c>
      <c r="D23" s="511">
        <v>571000</v>
      </c>
      <c r="E23" s="511">
        <v>1029347</v>
      </c>
      <c r="F23" s="511">
        <v>422011</v>
      </c>
    </row>
    <row r="24" spans="1:6" ht="15" customHeight="1" x14ac:dyDescent="0.2">
      <c r="A24" s="717"/>
      <c r="B24" s="492" t="s">
        <v>377</v>
      </c>
      <c r="C24" s="512">
        <v>239205</v>
      </c>
      <c r="D24" s="512">
        <v>431796</v>
      </c>
      <c r="E24" s="512">
        <v>211407</v>
      </c>
      <c r="F24" s="512" t="s">
        <v>211</v>
      </c>
    </row>
    <row r="25" spans="1:6" ht="15" customHeight="1" thickBot="1" x14ac:dyDescent="0.25">
      <c r="A25" s="718"/>
      <c r="B25" s="485" t="s">
        <v>390</v>
      </c>
      <c r="C25" s="508">
        <v>239205</v>
      </c>
      <c r="D25" s="508">
        <v>431796</v>
      </c>
      <c r="E25" s="508">
        <v>211407</v>
      </c>
      <c r="F25" s="508" t="s">
        <v>211</v>
      </c>
    </row>
    <row r="26" spans="1:6" x14ac:dyDescent="0.2">
      <c r="A26" s="725" t="s">
        <v>376</v>
      </c>
      <c r="B26" s="513" t="s">
        <v>209</v>
      </c>
      <c r="C26" s="514">
        <f>SUM(C20,C23)</f>
        <v>372800</v>
      </c>
      <c r="D26" s="514">
        <f>SUM(D20,D23)</f>
        <v>664000</v>
      </c>
      <c r="E26" s="514">
        <f>SUM(E20,E23)</f>
        <v>1130347</v>
      </c>
      <c r="F26" s="514">
        <f>SUM(F20,F23)</f>
        <v>498569</v>
      </c>
    </row>
    <row r="27" spans="1:6" x14ac:dyDescent="0.2">
      <c r="A27" s="725"/>
      <c r="B27" s="515" t="s">
        <v>377</v>
      </c>
      <c r="C27" s="514">
        <f t="shared" ref="C27:E28" si="0">SUM(C21,C24)</f>
        <v>303556</v>
      </c>
      <c r="D27" s="514">
        <f t="shared" si="0"/>
        <v>515750</v>
      </c>
      <c r="E27" s="516">
        <f t="shared" si="0"/>
        <v>257137</v>
      </c>
      <c r="F27" s="516" t="s">
        <v>211</v>
      </c>
    </row>
    <row r="28" spans="1:6" ht="13.5" thickBot="1" x14ac:dyDescent="0.25">
      <c r="A28" s="726"/>
      <c r="B28" s="517" t="s">
        <v>390</v>
      </c>
      <c r="C28" s="518">
        <f t="shared" si="0"/>
        <v>310250</v>
      </c>
      <c r="D28" s="518">
        <f t="shared" si="0"/>
        <v>515750</v>
      </c>
      <c r="E28" s="518">
        <f t="shared" si="0"/>
        <v>257137</v>
      </c>
      <c r="F28" s="518" t="s">
        <v>211</v>
      </c>
    </row>
    <row r="29" spans="1:6" x14ac:dyDescent="0.2">
      <c r="A29" s="487"/>
      <c r="B29" s="495"/>
      <c r="C29" s="519"/>
      <c r="D29" s="519"/>
      <c r="E29" s="496"/>
      <c r="F29" s="519"/>
    </row>
    <row r="30" spans="1:6" x14ac:dyDescent="0.2">
      <c r="B30" s="498"/>
      <c r="C30" s="519"/>
      <c r="D30" s="519"/>
      <c r="E30" s="519"/>
      <c r="F30" s="519"/>
    </row>
    <row r="31" spans="1:6" x14ac:dyDescent="0.2">
      <c r="B31" s="498"/>
      <c r="C31" s="519"/>
      <c r="D31" s="519"/>
      <c r="E31" s="519"/>
      <c r="F31" s="519"/>
    </row>
    <row r="34" spans="1:7" ht="18" customHeight="1" x14ac:dyDescent="0.2">
      <c r="A34" s="520" t="s">
        <v>220</v>
      </c>
      <c r="B34" s="520"/>
      <c r="C34" s="520"/>
      <c r="D34" s="520"/>
      <c r="E34" s="520"/>
      <c r="F34" s="520"/>
    </row>
    <row r="35" spans="1:7" ht="18" customHeight="1" x14ac:dyDescent="0.2">
      <c r="A35" s="734" t="s">
        <v>882</v>
      </c>
      <c r="B35" s="734"/>
      <c r="C35" s="734"/>
      <c r="D35" s="734"/>
      <c r="E35" s="734"/>
      <c r="F35" s="734"/>
      <c r="G35" s="521"/>
    </row>
    <row r="36" spans="1:7" ht="18" customHeight="1" x14ac:dyDescent="0.2">
      <c r="A36" s="734"/>
      <c r="B36" s="734"/>
      <c r="C36" s="734"/>
      <c r="D36" s="734"/>
      <c r="E36" s="734"/>
      <c r="F36" s="734"/>
      <c r="G36" s="521"/>
    </row>
    <row r="37" spans="1:7" ht="18" customHeight="1" x14ac:dyDescent="0.2">
      <c r="A37" s="734"/>
      <c r="B37" s="734"/>
      <c r="C37" s="734"/>
      <c r="D37" s="734"/>
      <c r="E37" s="734"/>
      <c r="F37" s="734"/>
      <c r="G37" s="521"/>
    </row>
    <row r="38" spans="1:7" ht="18" customHeight="1" x14ac:dyDescent="0.2">
      <c r="A38" s="734"/>
      <c r="B38" s="734"/>
      <c r="C38" s="734"/>
      <c r="D38" s="734"/>
      <c r="E38" s="734"/>
      <c r="F38" s="734"/>
      <c r="G38" s="521"/>
    </row>
    <row r="39" spans="1:7" ht="18" customHeight="1" x14ac:dyDescent="0.2">
      <c r="A39" s="716" t="s">
        <v>883</v>
      </c>
      <c r="B39" s="716"/>
      <c r="C39" s="716"/>
      <c r="D39" s="716"/>
      <c r="E39" s="716"/>
      <c r="F39" s="716"/>
      <c r="G39" s="521"/>
    </row>
    <row r="40" spans="1:7" ht="18" customHeight="1" x14ac:dyDescent="0.2">
      <c r="A40" s="716" t="s">
        <v>884</v>
      </c>
      <c r="B40" s="716"/>
      <c r="C40" s="716"/>
      <c r="D40" s="716"/>
      <c r="E40" s="716"/>
      <c r="F40" s="716"/>
      <c r="G40" s="521"/>
    </row>
    <row r="41" spans="1:7" ht="18" customHeight="1" x14ac:dyDescent="0.2">
      <c r="A41" s="716" t="s">
        <v>885</v>
      </c>
      <c r="B41" s="716"/>
      <c r="C41" s="716"/>
      <c r="D41" s="716"/>
      <c r="E41" s="716"/>
      <c r="F41" s="716"/>
      <c r="G41" s="521"/>
    </row>
    <row r="42" spans="1:7" ht="18" customHeight="1" x14ac:dyDescent="0.2">
      <c r="A42" s="714" t="s">
        <v>886</v>
      </c>
      <c r="B42" s="714"/>
      <c r="C42" s="714"/>
      <c r="D42" s="714"/>
      <c r="E42" s="714"/>
      <c r="F42" s="714"/>
      <c r="G42" s="521"/>
    </row>
    <row r="43" spans="1:7" ht="12" customHeight="1" x14ac:dyDescent="0.2">
      <c r="A43" s="714"/>
      <c r="B43" s="714"/>
      <c r="C43" s="714"/>
      <c r="D43" s="714"/>
      <c r="E43" s="714"/>
      <c r="F43" s="714"/>
      <c r="G43" s="521"/>
    </row>
    <row r="44" spans="1:7" ht="18" customHeight="1" x14ac:dyDescent="0.2">
      <c r="A44" s="716" t="s">
        <v>887</v>
      </c>
      <c r="B44" s="716"/>
      <c r="C44" s="716"/>
      <c r="D44" s="716"/>
      <c r="E44" s="716"/>
      <c r="F44" s="716"/>
      <c r="G44" s="521"/>
    </row>
    <row r="45" spans="1:7" ht="21" customHeight="1" x14ac:dyDescent="0.2">
      <c r="A45" s="714" t="s">
        <v>888</v>
      </c>
      <c r="B45" s="714"/>
      <c r="C45" s="714"/>
      <c r="D45" s="714"/>
      <c r="E45" s="714"/>
      <c r="F45" s="714"/>
    </row>
    <row r="46" spans="1:7" ht="9" customHeight="1" x14ac:dyDescent="0.2">
      <c r="A46" s="714"/>
      <c r="B46" s="714"/>
      <c r="C46" s="714"/>
      <c r="D46" s="714"/>
      <c r="E46" s="714"/>
      <c r="F46" s="714"/>
    </row>
  </sheetData>
  <mergeCells count="20">
    <mergeCell ref="A16:B16"/>
    <mergeCell ref="A20:A22"/>
    <mergeCell ref="A35:F38"/>
    <mergeCell ref="A39:F39"/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I143"/>
  <sheetViews>
    <sheetView showGridLines="0" topLeftCell="A34" workbookViewId="0">
      <selection activeCell="E7" sqref="E7:H143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66" t="s">
        <v>362</v>
      </c>
    </row>
    <row r="2" spans="1:9" ht="17.25" customHeight="1" x14ac:dyDescent="0.2">
      <c r="B2" s="744" t="s">
        <v>817</v>
      </c>
      <c r="C2" s="744"/>
      <c r="D2" s="744"/>
      <c r="E2" s="744"/>
      <c r="F2" s="744"/>
      <c r="G2" s="744"/>
      <c r="H2" s="744"/>
      <c r="I2" s="51"/>
    </row>
    <row r="3" spans="1:9" ht="12" customHeight="1" thickBot="1" x14ac:dyDescent="0.25">
      <c r="E3"/>
      <c r="F3"/>
      <c r="G3"/>
      <c r="H3" s="62" t="s">
        <v>198</v>
      </c>
    </row>
    <row r="4" spans="1:9" ht="20.25" customHeight="1" x14ac:dyDescent="0.2">
      <c r="B4" s="738" t="s">
        <v>257</v>
      </c>
      <c r="C4" s="740" t="s">
        <v>258</v>
      </c>
      <c r="D4" s="742" t="s">
        <v>40</v>
      </c>
      <c r="E4" s="735" t="s">
        <v>65</v>
      </c>
      <c r="F4" s="736"/>
      <c r="G4" s="736"/>
      <c r="H4" s="737"/>
    </row>
    <row r="5" spans="1:9" ht="28.5" customHeight="1" x14ac:dyDescent="0.2">
      <c r="B5" s="739"/>
      <c r="C5" s="741"/>
      <c r="D5" s="743"/>
      <c r="E5" s="315" t="s">
        <v>818</v>
      </c>
      <c r="F5" s="315" t="s">
        <v>819</v>
      </c>
      <c r="G5" s="315" t="s">
        <v>820</v>
      </c>
      <c r="H5" s="316" t="s">
        <v>821</v>
      </c>
    </row>
    <row r="6" spans="1:9" ht="12.75" customHeight="1" thickBot="1" x14ac:dyDescent="0.25">
      <c r="B6" s="29">
        <v>1</v>
      </c>
      <c r="C6" s="22">
        <v>2</v>
      </c>
      <c r="D6" s="65">
        <v>3</v>
      </c>
      <c r="E6" s="30">
        <v>4</v>
      </c>
      <c r="F6" s="22">
        <v>5</v>
      </c>
      <c r="G6" s="65">
        <v>6</v>
      </c>
      <c r="H6" s="31">
        <v>7</v>
      </c>
    </row>
    <row r="7" spans="1:9" ht="20.100000000000001" customHeight="1" x14ac:dyDescent="0.2">
      <c r="B7" s="321"/>
      <c r="C7" s="13" t="s">
        <v>92</v>
      </c>
      <c r="D7" s="63"/>
      <c r="E7" s="952"/>
      <c r="F7" s="952"/>
      <c r="G7" s="952"/>
      <c r="H7" s="953"/>
    </row>
    <row r="8" spans="1:9" ht="20.100000000000001" customHeight="1" x14ac:dyDescent="0.2">
      <c r="A8" s="40"/>
      <c r="B8" s="322" t="s">
        <v>769</v>
      </c>
      <c r="C8" s="13" t="s">
        <v>402</v>
      </c>
      <c r="D8" s="64" t="s">
        <v>282</v>
      </c>
      <c r="E8" s="954"/>
      <c r="F8" s="954"/>
      <c r="G8" s="954"/>
      <c r="H8" s="955"/>
    </row>
    <row r="9" spans="1:9" ht="20.100000000000001" customHeight="1" x14ac:dyDescent="0.2">
      <c r="A9" s="40"/>
      <c r="B9" s="670"/>
      <c r="C9" s="15" t="s">
        <v>403</v>
      </c>
      <c r="D9" s="745" t="s">
        <v>283</v>
      </c>
      <c r="E9" s="956">
        <f>SUM(E11,E18,E27,E28,E39)</f>
        <v>3473</v>
      </c>
      <c r="F9" s="956">
        <f>SUM(F11,F18,F27,F28,F39)</f>
        <v>3360</v>
      </c>
      <c r="G9" s="956">
        <f>SUM(G11,G18,G27,G28,G39)</f>
        <v>3248</v>
      </c>
      <c r="H9" s="957">
        <f>SUM(H11,H18,H27,H28,H39)</f>
        <v>3135</v>
      </c>
    </row>
    <row r="10" spans="1:9" ht="13.5" customHeight="1" x14ac:dyDescent="0.2">
      <c r="A10" s="40"/>
      <c r="B10" s="670"/>
      <c r="C10" s="16" t="s">
        <v>404</v>
      </c>
      <c r="D10" s="668"/>
      <c r="E10" s="958"/>
      <c r="F10" s="958"/>
      <c r="G10" s="958"/>
      <c r="H10" s="959"/>
    </row>
    <row r="11" spans="1:9" ht="20.100000000000001" customHeight="1" x14ac:dyDescent="0.2">
      <c r="A11" s="40"/>
      <c r="B11" s="670" t="s">
        <v>770</v>
      </c>
      <c r="C11" s="17" t="s">
        <v>405</v>
      </c>
      <c r="D11" s="668" t="s">
        <v>284</v>
      </c>
      <c r="E11" s="956">
        <f>SUM(E13:E17)</f>
        <v>1</v>
      </c>
      <c r="F11" s="956">
        <f>SUM(F13:F17)</f>
        <v>1</v>
      </c>
      <c r="G11" s="956">
        <f>SUM(G13:G17)</f>
        <v>1</v>
      </c>
      <c r="H11" s="957">
        <f>SUM(H13:H17)</f>
        <v>1</v>
      </c>
    </row>
    <row r="12" spans="1:9" ht="12.75" customHeight="1" x14ac:dyDescent="0.2">
      <c r="A12" s="40"/>
      <c r="B12" s="670"/>
      <c r="C12" s="18" t="s">
        <v>406</v>
      </c>
      <c r="D12" s="668"/>
      <c r="E12" s="958"/>
      <c r="F12" s="958"/>
      <c r="G12" s="958"/>
      <c r="H12" s="959"/>
    </row>
    <row r="13" spans="1:9" ht="20.100000000000001" customHeight="1" x14ac:dyDescent="0.2">
      <c r="A13" s="40"/>
      <c r="B13" s="322" t="s">
        <v>771</v>
      </c>
      <c r="C13" s="19" t="s">
        <v>136</v>
      </c>
      <c r="D13" s="14" t="s">
        <v>285</v>
      </c>
      <c r="E13" s="960"/>
      <c r="F13" s="960"/>
      <c r="G13" s="960"/>
      <c r="H13" s="955"/>
    </row>
    <row r="14" spans="1:9" ht="25.5" customHeight="1" x14ac:dyDescent="0.2">
      <c r="A14" s="40"/>
      <c r="B14" s="322" t="s">
        <v>407</v>
      </c>
      <c r="C14" s="19" t="s">
        <v>408</v>
      </c>
      <c r="D14" s="14" t="s">
        <v>286</v>
      </c>
      <c r="E14" s="960">
        <v>1</v>
      </c>
      <c r="F14" s="960">
        <v>1</v>
      </c>
      <c r="G14" s="960">
        <v>1</v>
      </c>
      <c r="H14" s="955">
        <v>1</v>
      </c>
    </row>
    <row r="15" spans="1:9" ht="20.100000000000001" customHeight="1" x14ac:dyDescent="0.2">
      <c r="A15" s="40"/>
      <c r="B15" s="322" t="s">
        <v>772</v>
      </c>
      <c r="C15" s="19" t="s">
        <v>409</v>
      </c>
      <c r="D15" s="14" t="s">
        <v>287</v>
      </c>
      <c r="E15" s="960"/>
      <c r="F15" s="960"/>
      <c r="G15" s="960"/>
      <c r="H15" s="955"/>
    </row>
    <row r="16" spans="1:9" ht="25.5" customHeight="1" x14ac:dyDescent="0.2">
      <c r="A16" s="40"/>
      <c r="B16" s="322" t="s">
        <v>410</v>
      </c>
      <c r="C16" s="19" t="s">
        <v>411</v>
      </c>
      <c r="D16" s="14" t="s">
        <v>288</v>
      </c>
      <c r="E16" s="960"/>
      <c r="F16" s="960"/>
      <c r="G16" s="960"/>
      <c r="H16" s="955"/>
    </row>
    <row r="17" spans="1:8" ht="20.100000000000001" customHeight="1" x14ac:dyDescent="0.2">
      <c r="A17" s="40"/>
      <c r="B17" s="322" t="s">
        <v>773</v>
      </c>
      <c r="C17" s="19" t="s">
        <v>412</v>
      </c>
      <c r="D17" s="14" t="s">
        <v>289</v>
      </c>
      <c r="E17" s="960"/>
      <c r="F17" s="960"/>
      <c r="G17" s="960"/>
      <c r="H17" s="955"/>
    </row>
    <row r="18" spans="1:8" ht="20.100000000000001" customHeight="1" x14ac:dyDescent="0.2">
      <c r="A18" s="40"/>
      <c r="B18" s="670" t="s">
        <v>774</v>
      </c>
      <c r="C18" s="17" t="s">
        <v>413</v>
      </c>
      <c r="D18" s="668" t="s">
        <v>290</v>
      </c>
      <c r="E18" s="956">
        <f>SUM(E20:E26)</f>
        <v>1976</v>
      </c>
      <c r="F18" s="956">
        <f>SUM(F20:F26)</f>
        <v>1863</v>
      </c>
      <c r="G18" s="956">
        <f>SUM(G20:G26)</f>
        <v>1751</v>
      </c>
      <c r="H18" s="957">
        <f>SUM(H20:H26)</f>
        <v>1638</v>
      </c>
    </row>
    <row r="19" spans="1:8" ht="12.75" customHeight="1" x14ac:dyDescent="0.2">
      <c r="A19" s="40"/>
      <c r="B19" s="670"/>
      <c r="C19" s="18" t="s">
        <v>414</v>
      </c>
      <c r="D19" s="668"/>
      <c r="E19" s="958"/>
      <c r="F19" s="958"/>
      <c r="G19" s="958"/>
      <c r="H19" s="959"/>
    </row>
    <row r="20" spans="1:8" ht="20.100000000000001" customHeight="1" x14ac:dyDescent="0.2">
      <c r="A20" s="40"/>
      <c r="B20" s="322" t="s">
        <v>415</v>
      </c>
      <c r="C20" s="19" t="s">
        <v>416</v>
      </c>
      <c r="D20" s="14" t="s">
        <v>291</v>
      </c>
      <c r="E20" s="960"/>
      <c r="F20" s="960"/>
      <c r="G20" s="960"/>
      <c r="H20" s="955"/>
    </row>
    <row r="21" spans="1:8" ht="20.100000000000001" customHeight="1" x14ac:dyDescent="0.2">
      <c r="B21" s="322" t="s">
        <v>775</v>
      </c>
      <c r="C21" s="19" t="s">
        <v>417</v>
      </c>
      <c r="D21" s="14" t="s">
        <v>292</v>
      </c>
      <c r="E21" s="960">
        <f>SUM(2088,88,-200)</f>
        <v>1976</v>
      </c>
      <c r="F21" s="960">
        <f>SUM(2088,88,87,-200,-200)</f>
        <v>1863</v>
      </c>
      <c r="G21" s="960">
        <f>SUM(2088,88,87,88,-200,-200,-200)</f>
        <v>1751</v>
      </c>
      <c r="H21" s="955">
        <f>SUM(2088,88,87,88,87,-800)</f>
        <v>1638</v>
      </c>
    </row>
    <row r="22" spans="1:8" ht="20.100000000000001" customHeight="1" x14ac:dyDescent="0.2">
      <c r="B22" s="322" t="s">
        <v>776</v>
      </c>
      <c r="C22" s="19" t="s">
        <v>418</v>
      </c>
      <c r="D22" s="14" t="s">
        <v>293</v>
      </c>
      <c r="E22" s="960"/>
      <c r="F22" s="960"/>
      <c r="G22" s="960"/>
      <c r="H22" s="955"/>
    </row>
    <row r="23" spans="1:8" ht="25.5" customHeight="1" x14ac:dyDescent="0.2">
      <c r="B23" s="322" t="s">
        <v>419</v>
      </c>
      <c r="C23" s="19" t="s">
        <v>420</v>
      </c>
      <c r="D23" s="14" t="s">
        <v>294</v>
      </c>
      <c r="E23" s="960"/>
      <c r="F23" s="960"/>
      <c r="G23" s="960"/>
      <c r="H23" s="955"/>
    </row>
    <row r="24" spans="1:8" ht="25.5" customHeight="1" x14ac:dyDescent="0.2">
      <c r="B24" s="322" t="s">
        <v>421</v>
      </c>
      <c r="C24" s="19" t="s">
        <v>777</v>
      </c>
      <c r="D24" s="14" t="s">
        <v>295</v>
      </c>
      <c r="E24" s="960"/>
      <c r="F24" s="960"/>
      <c r="G24" s="960"/>
      <c r="H24" s="955"/>
    </row>
    <row r="25" spans="1:8" ht="25.5" customHeight="1" x14ac:dyDescent="0.2">
      <c r="B25" s="322" t="s">
        <v>422</v>
      </c>
      <c r="C25" s="19" t="s">
        <v>423</v>
      </c>
      <c r="D25" s="14" t="s">
        <v>296</v>
      </c>
      <c r="E25" s="960"/>
      <c r="F25" s="960"/>
      <c r="G25" s="960"/>
      <c r="H25" s="955"/>
    </row>
    <row r="26" spans="1:8" ht="25.5" customHeight="1" x14ac:dyDescent="0.2">
      <c r="B26" s="322" t="s">
        <v>422</v>
      </c>
      <c r="C26" s="19" t="s">
        <v>424</v>
      </c>
      <c r="D26" s="14" t="s">
        <v>297</v>
      </c>
      <c r="E26" s="960"/>
      <c r="F26" s="960"/>
      <c r="G26" s="960"/>
      <c r="H26" s="955"/>
    </row>
    <row r="27" spans="1:8" ht="20.100000000000001" customHeight="1" x14ac:dyDescent="0.2">
      <c r="A27" s="40"/>
      <c r="B27" s="322" t="s">
        <v>778</v>
      </c>
      <c r="C27" s="19" t="s">
        <v>425</v>
      </c>
      <c r="D27" s="14" t="s">
        <v>298</v>
      </c>
      <c r="E27" s="960"/>
      <c r="F27" s="960"/>
      <c r="G27" s="960"/>
      <c r="H27" s="955"/>
    </row>
    <row r="28" spans="1:8" ht="25.5" customHeight="1" x14ac:dyDescent="0.2">
      <c r="A28" s="40"/>
      <c r="B28" s="670" t="s">
        <v>426</v>
      </c>
      <c r="C28" s="17" t="s">
        <v>427</v>
      </c>
      <c r="D28" s="668" t="s">
        <v>299</v>
      </c>
      <c r="E28" s="956">
        <f>SUM(E30:E38)</f>
        <v>1496</v>
      </c>
      <c r="F28" s="956">
        <f>SUM(F30:F38)</f>
        <v>1496</v>
      </c>
      <c r="G28" s="956">
        <f>SUM(G30:G38)</f>
        <v>1496</v>
      </c>
      <c r="H28" s="957">
        <f>SUM(H30:H38)</f>
        <v>1496</v>
      </c>
    </row>
    <row r="29" spans="1:8" ht="22.5" customHeight="1" x14ac:dyDescent="0.2">
      <c r="A29" s="40"/>
      <c r="B29" s="670"/>
      <c r="C29" s="18" t="s">
        <v>428</v>
      </c>
      <c r="D29" s="668"/>
      <c r="E29" s="958"/>
      <c r="F29" s="958"/>
      <c r="G29" s="958"/>
      <c r="H29" s="959"/>
    </row>
    <row r="30" spans="1:8" ht="25.5" customHeight="1" x14ac:dyDescent="0.2">
      <c r="A30" s="40"/>
      <c r="B30" s="322" t="s">
        <v>429</v>
      </c>
      <c r="C30" s="19" t="s">
        <v>761</v>
      </c>
      <c r="D30" s="14" t="s">
        <v>300</v>
      </c>
      <c r="E30" s="960">
        <v>1496</v>
      </c>
      <c r="F30" s="960">
        <v>1496</v>
      </c>
      <c r="G30" s="960">
        <v>1496</v>
      </c>
      <c r="H30" s="955">
        <v>1496</v>
      </c>
    </row>
    <row r="31" spans="1:8" ht="25.5" customHeight="1" x14ac:dyDescent="0.2">
      <c r="B31" s="322" t="s">
        <v>430</v>
      </c>
      <c r="C31" s="19" t="s">
        <v>431</v>
      </c>
      <c r="D31" s="14" t="s">
        <v>301</v>
      </c>
      <c r="E31" s="960"/>
      <c r="F31" s="960"/>
      <c r="G31" s="960"/>
      <c r="H31" s="955"/>
    </row>
    <row r="32" spans="1:8" ht="35.25" customHeight="1" x14ac:dyDescent="0.2">
      <c r="B32" s="322" t="s">
        <v>432</v>
      </c>
      <c r="C32" s="19" t="s">
        <v>433</v>
      </c>
      <c r="D32" s="14" t="s">
        <v>302</v>
      </c>
      <c r="E32" s="960"/>
      <c r="F32" s="960"/>
      <c r="G32" s="960"/>
      <c r="H32" s="955"/>
    </row>
    <row r="33" spans="1:8" ht="35.25" customHeight="1" x14ac:dyDescent="0.2">
      <c r="B33" s="322" t="s">
        <v>434</v>
      </c>
      <c r="C33" s="19" t="s">
        <v>762</v>
      </c>
      <c r="D33" s="14" t="s">
        <v>303</v>
      </c>
      <c r="E33" s="960"/>
      <c r="F33" s="960"/>
      <c r="G33" s="960"/>
      <c r="H33" s="955"/>
    </row>
    <row r="34" spans="1:8" ht="25.5" customHeight="1" x14ac:dyDescent="0.2">
      <c r="B34" s="322" t="s">
        <v>435</v>
      </c>
      <c r="C34" s="19" t="s">
        <v>436</v>
      </c>
      <c r="D34" s="14" t="s">
        <v>304</v>
      </c>
      <c r="E34" s="960"/>
      <c r="F34" s="960"/>
      <c r="G34" s="960"/>
      <c r="H34" s="955"/>
    </row>
    <row r="35" spans="1:8" ht="25.5" customHeight="1" x14ac:dyDescent="0.2">
      <c r="B35" s="322" t="s">
        <v>435</v>
      </c>
      <c r="C35" s="19" t="s">
        <v>437</v>
      </c>
      <c r="D35" s="14" t="s">
        <v>305</v>
      </c>
      <c r="E35" s="960"/>
      <c r="F35" s="960"/>
      <c r="G35" s="960"/>
      <c r="H35" s="955"/>
    </row>
    <row r="36" spans="1:8" ht="39" customHeight="1" x14ac:dyDescent="0.2">
      <c r="B36" s="322" t="s">
        <v>779</v>
      </c>
      <c r="C36" s="19" t="s">
        <v>763</v>
      </c>
      <c r="D36" s="14" t="s">
        <v>306</v>
      </c>
      <c r="E36" s="960"/>
      <c r="F36" s="960"/>
      <c r="G36" s="960"/>
      <c r="H36" s="955"/>
    </row>
    <row r="37" spans="1:8" ht="25.5" customHeight="1" x14ac:dyDescent="0.2">
      <c r="B37" s="322" t="s">
        <v>780</v>
      </c>
      <c r="C37" s="19" t="s">
        <v>438</v>
      </c>
      <c r="D37" s="14" t="s">
        <v>307</v>
      </c>
      <c r="E37" s="960"/>
      <c r="F37" s="960"/>
      <c r="G37" s="960"/>
      <c r="H37" s="955"/>
    </row>
    <row r="38" spans="1:8" ht="25.5" customHeight="1" x14ac:dyDescent="0.2">
      <c r="B38" s="322" t="s">
        <v>439</v>
      </c>
      <c r="C38" s="19" t="s">
        <v>440</v>
      </c>
      <c r="D38" s="14" t="s">
        <v>308</v>
      </c>
      <c r="E38" s="960"/>
      <c r="F38" s="960"/>
      <c r="G38" s="960"/>
      <c r="H38" s="955"/>
    </row>
    <row r="39" spans="1:8" ht="25.5" customHeight="1" x14ac:dyDescent="0.2">
      <c r="B39" s="322" t="s">
        <v>441</v>
      </c>
      <c r="C39" s="19" t="s">
        <v>442</v>
      </c>
      <c r="D39" s="14" t="s">
        <v>309</v>
      </c>
      <c r="E39" s="960"/>
      <c r="F39" s="960"/>
      <c r="G39" s="960"/>
      <c r="H39" s="955"/>
    </row>
    <row r="40" spans="1:8" ht="20.100000000000001" customHeight="1" x14ac:dyDescent="0.2">
      <c r="A40" s="40"/>
      <c r="B40" s="322">
        <v>288</v>
      </c>
      <c r="C40" s="13" t="s">
        <v>443</v>
      </c>
      <c r="D40" s="14" t="s">
        <v>310</v>
      </c>
      <c r="E40" s="960"/>
      <c r="F40" s="960"/>
      <c r="G40" s="960"/>
      <c r="H40" s="955"/>
    </row>
    <row r="41" spans="1:8" ht="20.100000000000001" customHeight="1" x14ac:dyDescent="0.2">
      <c r="A41" s="40"/>
      <c r="B41" s="670"/>
      <c r="C41" s="15" t="s">
        <v>444</v>
      </c>
      <c r="D41" s="668" t="s">
        <v>311</v>
      </c>
      <c r="E41" s="956">
        <f>SUM(E43,E49,E50,E57,E62,E72,E73)</f>
        <v>218395</v>
      </c>
      <c r="F41" s="956">
        <f>SUM(F43,F49,F50,F57,F62,F72,F73)</f>
        <v>194842</v>
      </c>
      <c r="G41" s="956">
        <f>SUM(G43,G49,G50,G57,G62,G72,G73)</f>
        <v>182289</v>
      </c>
      <c r="H41" s="957">
        <f>SUM(H43,H49,H50,H57,H62,H72,H73)</f>
        <v>171986</v>
      </c>
    </row>
    <row r="42" spans="1:8" ht="12.75" customHeight="1" x14ac:dyDescent="0.2">
      <c r="A42" s="40"/>
      <c r="B42" s="670"/>
      <c r="C42" s="16" t="s">
        <v>445</v>
      </c>
      <c r="D42" s="668"/>
      <c r="E42" s="958"/>
      <c r="F42" s="958"/>
      <c r="G42" s="958"/>
      <c r="H42" s="959"/>
    </row>
    <row r="43" spans="1:8" ht="25.5" customHeight="1" x14ac:dyDescent="0.2">
      <c r="B43" s="322" t="s">
        <v>446</v>
      </c>
      <c r="C43" s="19" t="s">
        <v>447</v>
      </c>
      <c r="D43" s="14" t="s">
        <v>312</v>
      </c>
      <c r="E43" s="960">
        <f>SUM(E44:E48)</f>
        <v>31122</v>
      </c>
      <c r="F43" s="960">
        <f>SUM(F44:F48)</f>
        <v>20919</v>
      </c>
      <c r="G43" s="960">
        <f>SUM(G44:G48)</f>
        <v>10716</v>
      </c>
      <c r="H43" s="955">
        <f>SUM(H44:H48)</f>
        <v>513</v>
      </c>
    </row>
    <row r="44" spans="1:8" ht="20.100000000000001" customHeight="1" x14ac:dyDescent="0.2">
      <c r="B44" s="322">
        <v>10</v>
      </c>
      <c r="C44" s="19" t="s">
        <v>448</v>
      </c>
      <c r="D44" s="14" t="s">
        <v>313</v>
      </c>
      <c r="E44" s="960"/>
      <c r="F44" s="960"/>
      <c r="G44" s="960"/>
      <c r="H44" s="955"/>
    </row>
    <row r="45" spans="1:8" ht="20.100000000000001" customHeight="1" x14ac:dyDescent="0.2">
      <c r="B45" s="322" t="s">
        <v>449</v>
      </c>
      <c r="C45" s="19" t="s">
        <v>450</v>
      </c>
      <c r="D45" s="14" t="s">
        <v>314</v>
      </c>
      <c r="E45" s="960"/>
      <c r="F45" s="960"/>
      <c r="G45" s="960"/>
      <c r="H45" s="955"/>
    </row>
    <row r="46" spans="1:8" ht="20.100000000000001" customHeight="1" x14ac:dyDescent="0.2">
      <c r="B46" s="322">
        <v>13</v>
      </c>
      <c r="C46" s="19" t="s">
        <v>451</v>
      </c>
      <c r="D46" s="14" t="s">
        <v>315</v>
      </c>
      <c r="E46" s="960"/>
      <c r="F46" s="960"/>
      <c r="G46" s="960"/>
      <c r="H46" s="955"/>
    </row>
    <row r="47" spans="1:8" ht="20.100000000000001" customHeight="1" x14ac:dyDescent="0.2">
      <c r="B47" s="322" t="s">
        <v>452</v>
      </c>
      <c r="C47" s="19" t="s">
        <v>453</v>
      </c>
      <c r="D47" s="14" t="s">
        <v>316</v>
      </c>
      <c r="E47" s="960">
        <v>31122</v>
      </c>
      <c r="F47" s="960">
        <v>20919</v>
      </c>
      <c r="G47" s="960">
        <v>10716</v>
      </c>
      <c r="H47" s="955">
        <v>513</v>
      </c>
    </row>
    <row r="48" spans="1:8" ht="20.100000000000001" customHeight="1" x14ac:dyDescent="0.2">
      <c r="B48" s="322" t="s">
        <v>454</v>
      </c>
      <c r="C48" s="19" t="s">
        <v>455</v>
      </c>
      <c r="D48" s="14" t="s">
        <v>317</v>
      </c>
      <c r="E48" s="960"/>
      <c r="F48" s="960"/>
      <c r="G48" s="960"/>
      <c r="H48" s="955"/>
    </row>
    <row r="49" spans="1:8" ht="25.5" customHeight="1" x14ac:dyDescent="0.2">
      <c r="A49" s="40"/>
      <c r="B49" s="322">
        <v>14</v>
      </c>
      <c r="C49" s="19" t="s">
        <v>456</v>
      </c>
      <c r="D49" s="14" t="s">
        <v>318</v>
      </c>
      <c r="E49" s="960"/>
      <c r="F49" s="960"/>
      <c r="G49" s="960"/>
      <c r="H49" s="955"/>
    </row>
    <row r="50" spans="1:8" ht="20.100000000000001" customHeight="1" x14ac:dyDescent="0.2">
      <c r="A50" s="40"/>
      <c r="B50" s="670">
        <v>20</v>
      </c>
      <c r="C50" s="17" t="s">
        <v>457</v>
      </c>
      <c r="D50" s="668" t="s">
        <v>319</v>
      </c>
      <c r="E50" s="956">
        <f>SUM(E52:E56)</f>
        <v>0</v>
      </c>
      <c r="F50" s="956">
        <f>SUM(F52:F56)</f>
        <v>0</v>
      </c>
      <c r="G50" s="956">
        <f>SUM(G52:G56)</f>
        <v>0</v>
      </c>
      <c r="H50" s="957">
        <f>SUM(H52:H56)</f>
        <v>0</v>
      </c>
    </row>
    <row r="51" spans="1:8" ht="12" customHeight="1" x14ac:dyDescent="0.2">
      <c r="A51" s="40"/>
      <c r="B51" s="670"/>
      <c r="C51" s="18" t="s">
        <v>458</v>
      </c>
      <c r="D51" s="668"/>
      <c r="E51" s="958"/>
      <c r="F51" s="958"/>
      <c r="G51" s="958"/>
      <c r="H51" s="959"/>
    </row>
    <row r="52" spans="1:8" ht="20.100000000000001" customHeight="1" x14ac:dyDescent="0.2">
      <c r="A52" s="40"/>
      <c r="B52" s="322">
        <v>204</v>
      </c>
      <c r="C52" s="19" t="s">
        <v>459</v>
      </c>
      <c r="D52" s="14" t="s">
        <v>320</v>
      </c>
      <c r="E52" s="960"/>
      <c r="F52" s="960"/>
      <c r="G52" s="960"/>
      <c r="H52" s="955"/>
    </row>
    <row r="53" spans="1:8" ht="20.100000000000001" customHeight="1" x14ac:dyDescent="0.2">
      <c r="A53" s="40"/>
      <c r="B53" s="322">
        <v>205</v>
      </c>
      <c r="C53" s="19" t="s">
        <v>460</v>
      </c>
      <c r="D53" s="14" t="s">
        <v>321</v>
      </c>
      <c r="E53" s="960"/>
      <c r="F53" s="960"/>
      <c r="G53" s="960"/>
      <c r="H53" s="955"/>
    </row>
    <row r="54" spans="1:8" ht="25.5" customHeight="1" x14ac:dyDescent="0.2">
      <c r="A54" s="40"/>
      <c r="B54" s="322" t="s">
        <v>461</v>
      </c>
      <c r="C54" s="19" t="s">
        <v>462</v>
      </c>
      <c r="D54" s="14" t="s">
        <v>322</v>
      </c>
      <c r="E54" s="960"/>
      <c r="F54" s="960"/>
      <c r="G54" s="960"/>
      <c r="H54" s="955"/>
    </row>
    <row r="55" spans="1:8" ht="25.5" customHeight="1" x14ac:dyDescent="0.2">
      <c r="A55" s="40"/>
      <c r="B55" s="322" t="s">
        <v>463</v>
      </c>
      <c r="C55" s="19" t="s">
        <v>464</v>
      </c>
      <c r="D55" s="14" t="s">
        <v>323</v>
      </c>
      <c r="E55" s="960"/>
      <c r="F55" s="960"/>
      <c r="G55" s="960"/>
      <c r="H55" s="955"/>
    </row>
    <row r="56" spans="1:8" ht="20.100000000000001" customHeight="1" x14ac:dyDescent="0.2">
      <c r="A56" s="40"/>
      <c r="B56" s="322">
        <v>206</v>
      </c>
      <c r="C56" s="19" t="s">
        <v>465</v>
      </c>
      <c r="D56" s="14" t="s">
        <v>324</v>
      </c>
      <c r="E56" s="960"/>
      <c r="F56" s="960"/>
      <c r="G56" s="960"/>
      <c r="H56" s="955"/>
    </row>
    <row r="57" spans="1:8" ht="20.100000000000001" customHeight="1" x14ac:dyDescent="0.2">
      <c r="A57" s="40"/>
      <c r="B57" s="670" t="s">
        <v>466</v>
      </c>
      <c r="C57" s="17" t="s">
        <v>467</v>
      </c>
      <c r="D57" s="668" t="s">
        <v>325</v>
      </c>
      <c r="E57" s="956">
        <f>SUM(E59:E61)</f>
        <v>18937</v>
      </c>
      <c r="F57" s="956">
        <f>SUM(F59:F61)</f>
        <v>18837</v>
      </c>
      <c r="G57" s="956">
        <f>SUM(G59:G61)</f>
        <v>18737</v>
      </c>
      <c r="H57" s="957">
        <f>SUM(H59:H61)</f>
        <v>18637</v>
      </c>
    </row>
    <row r="58" spans="1:8" ht="12" customHeight="1" x14ac:dyDescent="0.2">
      <c r="A58" s="40"/>
      <c r="B58" s="670"/>
      <c r="C58" s="18" t="s">
        <v>468</v>
      </c>
      <c r="D58" s="668"/>
      <c r="E58" s="958"/>
      <c r="F58" s="958"/>
      <c r="G58" s="958"/>
      <c r="H58" s="959"/>
    </row>
    <row r="59" spans="1:8" ht="23.25" customHeight="1" x14ac:dyDescent="0.2">
      <c r="B59" s="322" t="s">
        <v>469</v>
      </c>
      <c r="C59" s="19" t="s">
        <v>470</v>
      </c>
      <c r="D59" s="14" t="s">
        <v>326</v>
      </c>
      <c r="E59" s="960">
        <v>18937</v>
      </c>
      <c r="F59" s="960">
        <v>18837</v>
      </c>
      <c r="G59" s="960">
        <v>18737</v>
      </c>
      <c r="H59" s="955">
        <v>18637</v>
      </c>
    </row>
    <row r="60" spans="1:8" ht="20.100000000000001" customHeight="1" x14ac:dyDescent="0.2">
      <c r="B60" s="322">
        <v>223</v>
      </c>
      <c r="C60" s="19" t="s">
        <v>471</v>
      </c>
      <c r="D60" s="14" t="s">
        <v>327</v>
      </c>
      <c r="E60" s="960"/>
      <c r="F60" s="960"/>
      <c r="G60" s="960"/>
      <c r="H60" s="955"/>
    </row>
    <row r="61" spans="1:8" ht="25.5" customHeight="1" x14ac:dyDescent="0.2">
      <c r="A61" s="40"/>
      <c r="B61" s="322">
        <v>224</v>
      </c>
      <c r="C61" s="19" t="s">
        <v>472</v>
      </c>
      <c r="D61" s="14" t="s">
        <v>328</v>
      </c>
      <c r="E61" s="960"/>
      <c r="F61" s="960"/>
      <c r="G61" s="960"/>
      <c r="H61" s="955"/>
    </row>
    <row r="62" spans="1:8" ht="20.100000000000001" customHeight="1" x14ac:dyDescent="0.2">
      <c r="A62" s="40"/>
      <c r="B62" s="670">
        <v>23</v>
      </c>
      <c r="C62" s="17" t="s">
        <v>473</v>
      </c>
      <c r="D62" s="668" t="s">
        <v>329</v>
      </c>
      <c r="E62" s="956">
        <f>SUM(E64:E71)</f>
        <v>0</v>
      </c>
      <c r="F62" s="956">
        <f>SUM(F64:F71)</f>
        <v>0</v>
      </c>
      <c r="G62" s="956">
        <f>SUM(G64:G71)</f>
        <v>0</v>
      </c>
      <c r="H62" s="957">
        <f>SUM(H64:H71)</f>
        <v>0</v>
      </c>
    </row>
    <row r="63" spans="1:8" ht="20.100000000000001" customHeight="1" x14ac:dyDescent="0.2">
      <c r="A63" s="40"/>
      <c r="B63" s="670"/>
      <c r="C63" s="18" t="s">
        <v>474</v>
      </c>
      <c r="D63" s="668"/>
      <c r="E63" s="958"/>
      <c r="F63" s="958"/>
      <c r="G63" s="958"/>
      <c r="H63" s="959"/>
    </row>
    <row r="64" spans="1:8" ht="25.5" customHeight="1" x14ac:dyDescent="0.2">
      <c r="B64" s="322">
        <v>230</v>
      </c>
      <c r="C64" s="19" t="s">
        <v>475</v>
      </c>
      <c r="D64" s="14" t="s">
        <v>330</v>
      </c>
      <c r="E64" s="960"/>
      <c r="F64" s="960"/>
      <c r="G64" s="960"/>
      <c r="H64" s="955"/>
    </row>
    <row r="65" spans="1:8" ht="25.5" customHeight="1" x14ac:dyDescent="0.2">
      <c r="B65" s="322">
        <v>231</v>
      </c>
      <c r="C65" s="19" t="s">
        <v>787</v>
      </c>
      <c r="D65" s="14" t="s">
        <v>331</v>
      </c>
      <c r="E65" s="960"/>
      <c r="F65" s="960"/>
      <c r="G65" s="960"/>
      <c r="H65" s="955"/>
    </row>
    <row r="66" spans="1:8" ht="20.100000000000001" customHeight="1" x14ac:dyDescent="0.2">
      <c r="B66" s="322" t="s">
        <v>476</v>
      </c>
      <c r="C66" s="19" t="s">
        <v>477</v>
      </c>
      <c r="D66" s="14" t="s">
        <v>332</v>
      </c>
      <c r="E66" s="960"/>
      <c r="F66" s="960"/>
      <c r="G66" s="960"/>
      <c r="H66" s="955"/>
    </row>
    <row r="67" spans="1:8" ht="25.5" customHeight="1" x14ac:dyDescent="0.2">
      <c r="B67" s="322" t="s">
        <v>478</v>
      </c>
      <c r="C67" s="19" t="s">
        <v>479</v>
      </c>
      <c r="D67" s="14" t="s">
        <v>333</v>
      </c>
      <c r="E67" s="960"/>
      <c r="F67" s="960"/>
      <c r="G67" s="960"/>
      <c r="H67" s="955"/>
    </row>
    <row r="68" spans="1:8" ht="25.5" customHeight="1" x14ac:dyDescent="0.2">
      <c r="B68" s="322">
        <v>235</v>
      </c>
      <c r="C68" s="19" t="s">
        <v>480</v>
      </c>
      <c r="D68" s="14" t="s">
        <v>334</v>
      </c>
      <c r="E68" s="960"/>
      <c r="F68" s="960"/>
      <c r="G68" s="960"/>
      <c r="H68" s="955"/>
    </row>
    <row r="69" spans="1:8" ht="25.5" customHeight="1" x14ac:dyDescent="0.2">
      <c r="B69" s="322" t="s">
        <v>481</v>
      </c>
      <c r="C69" s="19" t="s">
        <v>764</v>
      </c>
      <c r="D69" s="14" t="s">
        <v>335</v>
      </c>
      <c r="E69" s="960"/>
      <c r="F69" s="960"/>
      <c r="G69" s="960"/>
      <c r="H69" s="955"/>
    </row>
    <row r="70" spans="1:8" ht="25.5" customHeight="1" x14ac:dyDescent="0.2">
      <c r="B70" s="322">
        <v>237</v>
      </c>
      <c r="C70" s="19" t="s">
        <v>482</v>
      </c>
      <c r="D70" s="14" t="s">
        <v>336</v>
      </c>
      <c r="E70" s="960"/>
      <c r="F70" s="960"/>
      <c r="G70" s="960"/>
      <c r="H70" s="955"/>
    </row>
    <row r="71" spans="1:8" ht="20.100000000000001" customHeight="1" x14ac:dyDescent="0.2">
      <c r="B71" s="322" t="s">
        <v>483</v>
      </c>
      <c r="C71" s="19" t="s">
        <v>484</v>
      </c>
      <c r="D71" s="14" t="s">
        <v>337</v>
      </c>
      <c r="E71" s="960"/>
      <c r="F71" s="960"/>
      <c r="G71" s="960"/>
      <c r="H71" s="955"/>
    </row>
    <row r="72" spans="1:8" ht="20.100000000000001" customHeight="1" x14ac:dyDescent="0.2">
      <c r="B72" s="322">
        <v>24</v>
      </c>
      <c r="C72" s="19" t="s">
        <v>485</v>
      </c>
      <c r="D72" s="14" t="s">
        <v>338</v>
      </c>
      <c r="E72" s="960">
        <v>1874</v>
      </c>
      <c r="F72" s="960">
        <v>1874</v>
      </c>
      <c r="G72" s="960">
        <v>1874</v>
      </c>
      <c r="H72" s="955">
        <v>1874</v>
      </c>
    </row>
    <row r="73" spans="1:8" ht="25.5" customHeight="1" x14ac:dyDescent="0.2">
      <c r="B73" s="322" t="s">
        <v>486</v>
      </c>
      <c r="C73" s="19" t="s">
        <v>487</v>
      </c>
      <c r="D73" s="14" t="s">
        <v>339</v>
      </c>
      <c r="E73" s="960">
        <v>166462</v>
      </c>
      <c r="F73" s="960">
        <v>153212</v>
      </c>
      <c r="G73" s="960">
        <v>150962</v>
      </c>
      <c r="H73" s="955">
        <f>SUM(G73)</f>
        <v>150962</v>
      </c>
    </row>
    <row r="74" spans="1:8" ht="25.5" customHeight="1" x14ac:dyDescent="0.2">
      <c r="B74" s="322"/>
      <c r="C74" s="13" t="s">
        <v>570</v>
      </c>
      <c r="D74" s="14" t="s">
        <v>340</v>
      </c>
      <c r="E74" s="960">
        <f>SUM(E8,E9,E40,E41)</f>
        <v>221868</v>
      </c>
      <c r="F74" s="960">
        <f>SUM(F8,F9,F40,F41)</f>
        <v>198202</v>
      </c>
      <c r="G74" s="960">
        <f>SUM(G8,G9,G40,G41)</f>
        <v>185537</v>
      </c>
      <c r="H74" s="955">
        <f>SUM(H8,H9,H40,H41)</f>
        <v>175121</v>
      </c>
    </row>
    <row r="75" spans="1:8" ht="20.100000000000001" customHeight="1" x14ac:dyDescent="0.2">
      <c r="B75" s="322">
        <v>88</v>
      </c>
      <c r="C75" s="13" t="s">
        <v>488</v>
      </c>
      <c r="D75" s="14" t="s">
        <v>341</v>
      </c>
      <c r="E75" s="960">
        <f>SUM(1011803,1680,12000,16000,10000,12750)</f>
        <v>1064233</v>
      </c>
      <c r="F75" s="960">
        <f>SUM(1011803,1680,12000,16000,10000,12750,25000,25000,35000,16000,10000,12750,6600,10000,7881)</f>
        <v>1212464</v>
      </c>
      <c r="G75" s="960">
        <f>SUM(1011803,1680,12000,16000,10000,12750,25000,25000,35000,16000,10000,12750,6600,25000,25000,26750,10000,10000,7881,10000)</f>
        <v>1309214</v>
      </c>
      <c r="H75" s="955">
        <f>SUM(1011803,1680,12000,16000,10000,12750,25000,25000,35000,16000,10000,12750,6600,25000,25000,26750,10000,22250,10000,7881,10000-6000)</f>
        <v>1325464</v>
      </c>
    </row>
    <row r="76" spans="1:8" ht="20.100000000000001" customHeight="1" x14ac:dyDescent="0.2">
      <c r="A76" s="40"/>
      <c r="B76" s="321"/>
      <c r="C76" s="13" t="s">
        <v>37</v>
      </c>
      <c r="D76" s="20"/>
      <c r="E76" s="960"/>
      <c r="F76" s="960"/>
      <c r="G76" s="960"/>
      <c r="H76" s="955"/>
    </row>
    <row r="77" spans="1:8" ht="20.100000000000001" customHeight="1" x14ac:dyDescent="0.2">
      <c r="A77" s="40"/>
      <c r="B77" s="670"/>
      <c r="C77" s="15" t="s">
        <v>489</v>
      </c>
      <c r="D77" s="668" t="s">
        <v>137</v>
      </c>
      <c r="E77" s="956">
        <v>0</v>
      </c>
      <c r="F77" s="956">
        <v>0</v>
      </c>
      <c r="G77" s="956">
        <v>0</v>
      </c>
      <c r="H77" s="957">
        <v>0</v>
      </c>
    </row>
    <row r="78" spans="1:8" ht="20.100000000000001" customHeight="1" x14ac:dyDescent="0.2">
      <c r="A78" s="40"/>
      <c r="B78" s="670"/>
      <c r="C78" s="16" t="s">
        <v>490</v>
      </c>
      <c r="D78" s="668"/>
      <c r="E78" s="958"/>
      <c r="F78" s="958"/>
      <c r="G78" s="958"/>
      <c r="H78" s="959"/>
    </row>
    <row r="79" spans="1:8" ht="20.100000000000001" customHeight="1" x14ac:dyDescent="0.2">
      <c r="A79" s="40"/>
      <c r="B79" s="322" t="s">
        <v>491</v>
      </c>
      <c r="C79" s="19" t="s">
        <v>492</v>
      </c>
      <c r="D79" s="14" t="s">
        <v>138</v>
      </c>
      <c r="E79" s="960">
        <v>20</v>
      </c>
      <c r="F79" s="960">
        <v>20</v>
      </c>
      <c r="G79" s="960">
        <v>20</v>
      </c>
      <c r="H79" s="955">
        <v>20</v>
      </c>
    </row>
    <row r="80" spans="1:8" ht="20.100000000000001" customHeight="1" x14ac:dyDescent="0.2">
      <c r="B80" s="322">
        <v>31</v>
      </c>
      <c r="C80" s="19" t="s">
        <v>493</v>
      </c>
      <c r="D80" s="14" t="s">
        <v>139</v>
      </c>
      <c r="E80" s="960"/>
      <c r="F80" s="960"/>
      <c r="G80" s="960"/>
      <c r="H80" s="955"/>
    </row>
    <row r="81" spans="1:8" ht="20.100000000000001" customHeight="1" x14ac:dyDescent="0.2">
      <c r="B81" s="322">
        <v>306</v>
      </c>
      <c r="C81" s="19" t="s">
        <v>494</v>
      </c>
      <c r="D81" s="14" t="s">
        <v>140</v>
      </c>
      <c r="E81" s="960"/>
      <c r="F81" s="960"/>
      <c r="G81" s="960"/>
      <c r="H81" s="955"/>
    </row>
    <row r="82" spans="1:8" ht="20.100000000000001" customHeight="1" x14ac:dyDescent="0.2">
      <c r="B82" s="322">
        <v>32</v>
      </c>
      <c r="C82" s="19" t="s">
        <v>495</v>
      </c>
      <c r="D82" s="14" t="s">
        <v>141</v>
      </c>
      <c r="E82" s="960"/>
      <c r="F82" s="960"/>
      <c r="G82" s="960"/>
      <c r="H82" s="955"/>
    </row>
    <row r="83" spans="1:8" ht="58.5" customHeight="1" x14ac:dyDescent="0.2">
      <c r="B83" s="322" t="s">
        <v>496</v>
      </c>
      <c r="C83" s="19" t="s">
        <v>781</v>
      </c>
      <c r="D83" s="14" t="s">
        <v>142</v>
      </c>
      <c r="E83" s="960"/>
      <c r="F83" s="960"/>
      <c r="G83" s="960"/>
      <c r="H83" s="955"/>
    </row>
    <row r="84" spans="1:8" ht="49.5" customHeight="1" x14ac:dyDescent="0.2">
      <c r="B84" s="322" t="s">
        <v>497</v>
      </c>
      <c r="C84" s="19" t="s">
        <v>788</v>
      </c>
      <c r="D84" s="14" t="s">
        <v>143</v>
      </c>
      <c r="E84" s="960"/>
      <c r="F84" s="960"/>
      <c r="G84" s="960"/>
      <c r="H84" s="955"/>
    </row>
    <row r="85" spans="1:8" ht="20.100000000000001" customHeight="1" x14ac:dyDescent="0.2">
      <c r="B85" s="322">
        <v>34</v>
      </c>
      <c r="C85" s="19" t="s">
        <v>498</v>
      </c>
      <c r="D85" s="14" t="s">
        <v>144</v>
      </c>
      <c r="E85" s="960">
        <f>SUM(E86:E87)</f>
        <v>271</v>
      </c>
      <c r="F85" s="960">
        <f>SUM(F86:F87)</f>
        <v>358</v>
      </c>
      <c r="G85" s="960">
        <f>SUM(G86:G87)</f>
        <v>446</v>
      </c>
      <c r="H85" s="955">
        <f>SUM(H86:H87)</f>
        <v>533</v>
      </c>
    </row>
    <row r="86" spans="1:8" ht="20.100000000000001" customHeight="1" x14ac:dyDescent="0.2">
      <c r="B86" s="322">
        <v>340</v>
      </c>
      <c r="C86" s="19" t="s">
        <v>154</v>
      </c>
      <c r="D86" s="14" t="s">
        <v>145</v>
      </c>
      <c r="E86" s="960">
        <f>SUM(183)</f>
        <v>183</v>
      </c>
      <c r="F86" s="960">
        <f>SUM(183)</f>
        <v>183</v>
      </c>
      <c r="G86" s="960">
        <f>SUM(183)</f>
        <v>183</v>
      </c>
      <c r="H86" s="955">
        <f>SUM(183)</f>
        <v>183</v>
      </c>
    </row>
    <row r="87" spans="1:8" ht="20.100000000000001" customHeight="1" x14ac:dyDescent="0.2">
      <c r="B87" s="322">
        <v>341</v>
      </c>
      <c r="C87" s="19" t="s">
        <v>499</v>
      </c>
      <c r="D87" s="14" t="s">
        <v>146</v>
      </c>
      <c r="E87" s="960">
        <v>88</v>
      </c>
      <c r="F87" s="960">
        <v>175</v>
      </c>
      <c r="G87" s="960">
        <v>263</v>
      </c>
      <c r="H87" s="955">
        <v>350</v>
      </c>
    </row>
    <row r="88" spans="1:8" ht="20.100000000000001" customHeight="1" x14ac:dyDescent="0.2">
      <c r="B88" s="322"/>
      <c r="C88" s="19" t="s">
        <v>500</v>
      </c>
      <c r="D88" s="14" t="s">
        <v>147</v>
      </c>
      <c r="E88" s="960"/>
      <c r="F88" s="960"/>
      <c r="G88" s="960"/>
      <c r="H88" s="955"/>
    </row>
    <row r="89" spans="1:8" ht="20.100000000000001" customHeight="1" x14ac:dyDescent="0.2">
      <c r="B89" s="322">
        <v>35</v>
      </c>
      <c r="C89" s="19" t="s">
        <v>501</v>
      </c>
      <c r="D89" s="14" t="s">
        <v>148</v>
      </c>
      <c r="E89" s="960">
        <f>SUM(E90:E91)</f>
        <v>12284</v>
      </c>
      <c r="F89" s="960">
        <f>SUM(F90:F91)</f>
        <v>12284</v>
      </c>
      <c r="G89" s="960">
        <f>SUM(G90:G91)</f>
        <v>12284</v>
      </c>
      <c r="H89" s="955">
        <f>SUM(H90:H91)</f>
        <v>12284</v>
      </c>
    </row>
    <row r="90" spans="1:8" ht="20.100000000000001" customHeight="1" x14ac:dyDescent="0.2">
      <c r="B90" s="322">
        <v>350</v>
      </c>
      <c r="C90" s="19" t="s">
        <v>502</v>
      </c>
      <c r="D90" s="14" t="s">
        <v>149</v>
      </c>
      <c r="E90" s="960">
        <v>12284</v>
      </c>
      <c r="F90" s="960">
        <v>12284</v>
      </c>
      <c r="G90" s="960">
        <v>12284</v>
      </c>
      <c r="H90" s="955">
        <v>12284</v>
      </c>
    </row>
    <row r="91" spans="1:8" ht="20.100000000000001" customHeight="1" x14ac:dyDescent="0.2">
      <c r="A91" s="40"/>
      <c r="B91" s="322">
        <v>351</v>
      </c>
      <c r="C91" s="19" t="s">
        <v>160</v>
      </c>
      <c r="D91" s="14" t="s">
        <v>150</v>
      </c>
      <c r="E91" s="960"/>
      <c r="F91" s="960"/>
      <c r="G91" s="960"/>
      <c r="H91" s="955"/>
    </row>
    <row r="92" spans="1:8" ht="22.5" customHeight="1" x14ac:dyDescent="0.2">
      <c r="A92" s="40"/>
      <c r="B92" s="670"/>
      <c r="C92" s="15" t="s">
        <v>503</v>
      </c>
      <c r="D92" s="668" t="s">
        <v>151</v>
      </c>
      <c r="E92" s="956">
        <f>SUM(E94,E99,E108)</f>
        <v>0</v>
      </c>
      <c r="F92" s="956">
        <f>SUM(F94,F99,F108)</f>
        <v>0</v>
      </c>
      <c r="G92" s="956">
        <f>SUM(G94,G99,G108)</f>
        <v>0</v>
      </c>
      <c r="H92" s="957">
        <f>SUM(H94,H99,H108)</f>
        <v>0</v>
      </c>
    </row>
    <row r="93" spans="1:8" ht="13.5" customHeight="1" x14ac:dyDescent="0.2">
      <c r="A93" s="40"/>
      <c r="B93" s="670"/>
      <c r="C93" s="16" t="s">
        <v>504</v>
      </c>
      <c r="D93" s="668"/>
      <c r="E93" s="958"/>
      <c r="F93" s="958"/>
      <c r="G93" s="958"/>
      <c r="H93" s="959"/>
    </row>
    <row r="94" spans="1:8" ht="20.100000000000001" customHeight="1" x14ac:dyDescent="0.2">
      <c r="A94" s="40"/>
      <c r="B94" s="670">
        <v>40</v>
      </c>
      <c r="C94" s="17" t="s">
        <v>505</v>
      </c>
      <c r="D94" s="668" t="s">
        <v>152</v>
      </c>
      <c r="E94" s="956">
        <f>SUM(E96:E98)</f>
        <v>0</v>
      </c>
      <c r="F94" s="956">
        <f>SUM(F96:F98)</f>
        <v>0</v>
      </c>
      <c r="G94" s="956">
        <f>SUM(G96:G98)</f>
        <v>0</v>
      </c>
      <c r="H94" s="957">
        <f>SUM(H96:H98)</f>
        <v>0</v>
      </c>
    </row>
    <row r="95" spans="1:8" ht="14.25" customHeight="1" x14ac:dyDescent="0.2">
      <c r="A95" s="40"/>
      <c r="B95" s="670"/>
      <c r="C95" s="18" t="s">
        <v>506</v>
      </c>
      <c r="D95" s="668"/>
      <c r="E95" s="958"/>
      <c r="F95" s="958"/>
      <c r="G95" s="958"/>
      <c r="H95" s="959"/>
    </row>
    <row r="96" spans="1:8" ht="25.5" customHeight="1" x14ac:dyDescent="0.2">
      <c r="A96" s="40"/>
      <c r="B96" s="322">
        <v>404</v>
      </c>
      <c r="C96" s="19" t="s">
        <v>507</v>
      </c>
      <c r="D96" s="14" t="s">
        <v>153</v>
      </c>
      <c r="E96" s="960"/>
      <c r="F96" s="960"/>
      <c r="G96" s="960"/>
      <c r="H96" s="955"/>
    </row>
    <row r="97" spans="1:8" ht="20.100000000000001" customHeight="1" x14ac:dyDescent="0.2">
      <c r="A97" s="40"/>
      <c r="B97" s="322">
        <v>400</v>
      </c>
      <c r="C97" s="19" t="s">
        <v>508</v>
      </c>
      <c r="D97" s="14" t="s">
        <v>155</v>
      </c>
      <c r="E97" s="960"/>
      <c r="F97" s="960"/>
      <c r="G97" s="960"/>
      <c r="H97" s="955"/>
    </row>
    <row r="98" spans="1:8" ht="20.100000000000001" customHeight="1" x14ac:dyDescent="0.2">
      <c r="A98" s="40"/>
      <c r="B98" s="322" t="s">
        <v>783</v>
      </c>
      <c r="C98" s="19" t="s">
        <v>509</v>
      </c>
      <c r="D98" s="14" t="s">
        <v>156</v>
      </c>
      <c r="E98" s="960"/>
      <c r="F98" s="960"/>
      <c r="G98" s="960"/>
      <c r="H98" s="955"/>
    </row>
    <row r="99" spans="1:8" ht="20.100000000000001" customHeight="1" x14ac:dyDescent="0.2">
      <c r="A99" s="40"/>
      <c r="B99" s="670">
        <v>41</v>
      </c>
      <c r="C99" s="17" t="s">
        <v>510</v>
      </c>
      <c r="D99" s="668" t="s">
        <v>157</v>
      </c>
      <c r="E99" s="956">
        <f>SUM(E101:E107)</f>
        <v>0</v>
      </c>
      <c r="F99" s="956">
        <f>SUM(F101:F107)</f>
        <v>0</v>
      </c>
      <c r="G99" s="956">
        <f>SUM(G101:G107)</f>
        <v>0</v>
      </c>
      <c r="H99" s="957">
        <f>SUM(H101:H107)</f>
        <v>0</v>
      </c>
    </row>
    <row r="100" spans="1:8" ht="12" customHeight="1" x14ac:dyDescent="0.2">
      <c r="A100" s="40"/>
      <c r="B100" s="670"/>
      <c r="C100" s="18" t="s">
        <v>511</v>
      </c>
      <c r="D100" s="668"/>
      <c r="E100" s="958"/>
      <c r="F100" s="958"/>
      <c r="G100" s="958"/>
      <c r="H100" s="959"/>
    </row>
    <row r="101" spans="1:8" ht="20.100000000000001" customHeight="1" x14ac:dyDescent="0.2">
      <c r="B101" s="322">
        <v>410</v>
      </c>
      <c r="C101" s="19" t="s">
        <v>512</v>
      </c>
      <c r="D101" s="14" t="s">
        <v>158</v>
      </c>
      <c r="E101" s="960"/>
      <c r="F101" s="960"/>
      <c r="G101" s="960"/>
      <c r="H101" s="955"/>
    </row>
    <row r="102" spans="1:8" ht="36.75" customHeight="1" x14ac:dyDescent="0.2">
      <c r="B102" s="322" t="s">
        <v>513</v>
      </c>
      <c r="C102" s="19" t="s">
        <v>514</v>
      </c>
      <c r="D102" s="14" t="s">
        <v>159</v>
      </c>
      <c r="E102" s="960"/>
      <c r="F102" s="960"/>
      <c r="G102" s="960"/>
      <c r="H102" s="955"/>
    </row>
    <row r="103" spans="1:8" ht="39" customHeight="1" x14ac:dyDescent="0.2">
      <c r="B103" s="322" t="s">
        <v>513</v>
      </c>
      <c r="C103" s="19" t="s">
        <v>515</v>
      </c>
      <c r="D103" s="14" t="s">
        <v>161</v>
      </c>
      <c r="E103" s="960"/>
      <c r="F103" s="960"/>
      <c r="G103" s="960"/>
      <c r="H103" s="955"/>
    </row>
    <row r="104" spans="1:8" ht="25.5" customHeight="1" x14ac:dyDescent="0.2">
      <c r="B104" s="322" t="s">
        <v>516</v>
      </c>
      <c r="C104" s="19" t="s">
        <v>517</v>
      </c>
      <c r="D104" s="14" t="s">
        <v>162</v>
      </c>
      <c r="E104" s="960"/>
      <c r="F104" s="960"/>
      <c r="G104" s="960"/>
      <c r="H104" s="955"/>
    </row>
    <row r="105" spans="1:8" ht="25.5" customHeight="1" x14ac:dyDescent="0.2">
      <c r="B105" s="322" t="s">
        <v>518</v>
      </c>
      <c r="C105" s="19" t="s">
        <v>765</v>
      </c>
      <c r="D105" s="14" t="s">
        <v>163</v>
      </c>
      <c r="E105" s="960"/>
      <c r="F105" s="960"/>
      <c r="G105" s="960"/>
      <c r="H105" s="955"/>
    </row>
    <row r="106" spans="1:8" ht="20.100000000000001" customHeight="1" x14ac:dyDescent="0.2">
      <c r="B106" s="322">
        <v>413</v>
      </c>
      <c r="C106" s="19" t="s">
        <v>519</v>
      </c>
      <c r="D106" s="14" t="s">
        <v>164</v>
      </c>
      <c r="E106" s="960"/>
      <c r="F106" s="960"/>
      <c r="G106" s="960"/>
      <c r="H106" s="955"/>
    </row>
    <row r="107" spans="1:8" ht="20.100000000000001" customHeight="1" x14ac:dyDescent="0.2">
      <c r="B107" s="322">
        <v>419</v>
      </c>
      <c r="C107" s="19" t="s">
        <v>520</v>
      </c>
      <c r="D107" s="14" t="s">
        <v>165</v>
      </c>
      <c r="E107" s="960"/>
      <c r="F107" s="960"/>
      <c r="G107" s="960"/>
      <c r="H107" s="955"/>
    </row>
    <row r="108" spans="1:8" ht="24" customHeight="1" x14ac:dyDescent="0.2">
      <c r="B108" s="322" t="s">
        <v>521</v>
      </c>
      <c r="C108" s="19" t="s">
        <v>522</v>
      </c>
      <c r="D108" s="14" t="s">
        <v>166</v>
      </c>
      <c r="E108" s="960"/>
      <c r="F108" s="960"/>
      <c r="G108" s="960"/>
      <c r="H108" s="955"/>
    </row>
    <row r="109" spans="1:8" ht="20.100000000000001" customHeight="1" x14ac:dyDescent="0.2">
      <c r="B109" s="322">
        <v>498</v>
      </c>
      <c r="C109" s="13" t="s">
        <v>523</v>
      </c>
      <c r="D109" s="14" t="s">
        <v>167</v>
      </c>
      <c r="E109" s="960"/>
      <c r="F109" s="960"/>
      <c r="G109" s="960"/>
      <c r="H109" s="955"/>
    </row>
    <row r="110" spans="1:8" ht="24" customHeight="1" x14ac:dyDescent="0.2">
      <c r="A110" s="40"/>
      <c r="B110" s="322" t="s">
        <v>524</v>
      </c>
      <c r="C110" s="13" t="s">
        <v>525</v>
      </c>
      <c r="D110" s="14" t="s">
        <v>168</v>
      </c>
      <c r="E110" s="960"/>
      <c r="F110" s="960"/>
      <c r="G110" s="960"/>
      <c r="H110" s="955"/>
    </row>
    <row r="111" spans="1:8" ht="23.25" customHeight="1" x14ac:dyDescent="0.2">
      <c r="A111" s="40"/>
      <c r="B111" s="670"/>
      <c r="C111" s="15" t="s">
        <v>526</v>
      </c>
      <c r="D111" s="668" t="s">
        <v>169</v>
      </c>
      <c r="E111" s="956">
        <f>SUM(E113:E115,E123:E125,E132,E137:E138)</f>
        <v>233861</v>
      </c>
      <c r="F111" s="956">
        <f>SUM(F113:F115,F123:F125,F132,F137:F138)</f>
        <v>210108</v>
      </c>
      <c r="G111" s="956">
        <f>SUM(G113:G115,G123:G125,G132,G137:G138)</f>
        <v>197355</v>
      </c>
      <c r="H111" s="957">
        <f>SUM(H113:H115,H123:H125,H132,H137:H138)</f>
        <v>186852</v>
      </c>
    </row>
    <row r="112" spans="1:8" ht="13.5" customHeight="1" x14ac:dyDescent="0.2">
      <c r="A112" s="40"/>
      <c r="B112" s="670"/>
      <c r="C112" s="16" t="s">
        <v>527</v>
      </c>
      <c r="D112" s="668"/>
      <c r="E112" s="958"/>
      <c r="F112" s="958"/>
      <c r="G112" s="958"/>
      <c r="H112" s="959"/>
    </row>
    <row r="113" spans="1:8" ht="20.100000000000001" customHeight="1" x14ac:dyDescent="0.2">
      <c r="A113" s="40"/>
      <c r="B113" s="322">
        <v>467</v>
      </c>
      <c r="C113" s="19" t="s">
        <v>528</v>
      </c>
      <c r="D113" s="14" t="s">
        <v>170</v>
      </c>
      <c r="E113" s="960">
        <v>344</v>
      </c>
      <c r="F113" s="960">
        <v>344</v>
      </c>
      <c r="G113" s="960">
        <v>344</v>
      </c>
      <c r="H113" s="955">
        <v>344</v>
      </c>
    </row>
    <row r="114" spans="1:8" ht="20.100000000000001" customHeight="1" x14ac:dyDescent="0.2">
      <c r="A114" s="40"/>
      <c r="B114" s="670" t="s">
        <v>529</v>
      </c>
      <c r="C114" s="17" t="s">
        <v>530</v>
      </c>
      <c r="D114" s="668" t="s">
        <v>171</v>
      </c>
      <c r="E114" s="956">
        <f>SUM(E116:E122)</f>
        <v>30000</v>
      </c>
      <c r="F114" s="956">
        <f>SUM(F116:F122)</f>
        <v>30000</v>
      </c>
      <c r="G114" s="956">
        <f>SUM(G116:G122)</f>
        <v>30000</v>
      </c>
      <c r="H114" s="957">
        <f>SUM(H116:H122)</f>
        <v>30000</v>
      </c>
    </row>
    <row r="115" spans="1:8" ht="15" customHeight="1" x14ac:dyDescent="0.2">
      <c r="A115" s="40"/>
      <c r="B115" s="670"/>
      <c r="C115" s="18" t="s">
        <v>531</v>
      </c>
      <c r="D115" s="668"/>
      <c r="E115" s="958"/>
      <c r="F115" s="958"/>
      <c r="G115" s="958"/>
      <c r="H115" s="959"/>
    </row>
    <row r="116" spans="1:8" ht="25.5" customHeight="1" x14ac:dyDescent="0.2">
      <c r="A116" s="40"/>
      <c r="B116" s="322" t="s">
        <v>532</v>
      </c>
      <c r="C116" s="19" t="s">
        <v>533</v>
      </c>
      <c r="D116" s="14" t="s">
        <v>172</v>
      </c>
      <c r="E116" s="960"/>
      <c r="F116" s="960"/>
      <c r="G116" s="960"/>
      <c r="H116" s="955"/>
    </row>
    <row r="117" spans="1:8" ht="25.5" customHeight="1" x14ac:dyDescent="0.2">
      <c r="B117" s="322" t="s">
        <v>532</v>
      </c>
      <c r="C117" s="19" t="s">
        <v>534</v>
      </c>
      <c r="D117" s="14" t="s">
        <v>173</v>
      </c>
      <c r="E117" s="960"/>
      <c r="F117" s="960"/>
      <c r="G117" s="960"/>
      <c r="H117" s="955"/>
    </row>
    <row r="118" spans="1:8" ht="25.5" customHeight="1" x14ac:dyDescent="0.2">
      <c r="B118" s="322" t="s">
        <v>535</v>
      </c>
      <c r="C118" s="19" t="s">
        <v>536</v>
      </c>
      <c r="D118" s="14" t="s">
        <v>174</v>
      </c>
      <c r="E118" s="960">
        <v>30000</v>
      </c>
      <c r="F118" s="960">
        <v>30000</v>
      </c>
      <c r="G118" s="960">
        <v>30000</v>
      </c>
      <c r="H118" s="955">
        <v>30000</v>
      </c>
    </row>
    <row r="119" spans="1:8" ht="24.75" customHeight="1" x14ac:dyDescent="0.2">
      <c r="B119" s="322" t="s">
        <v>537</v>
      </c>
      <c r="C119" s="19" t="s">
        <v>538</v>
      </c>
      <c r="D119" s="14" t="s">
        <v>175</v>
      </c>
      <c r="E119" s="960"/>
      <c r="F119" s="960"/>
      <c r="G119" s="960"/>
      <c r="H119" s="955"/>
    </row>
    <row r="120" spans="1:8" ht="24.75" customHeight="1" x14ac:dyDescent="0.2">
      <c r="B120" s="322" t="s">
        <v>539</v>
      </c>
      <c r="C120" s="19" t="s">
        <v>540</v>
      </c>
      <c r="D120" s="14" t="s">
        <v>176</v>
      </c>
      <c r="E120" s="960"/>
      <c r="F120" s="960"/>
      <c r="G120" s="960"/>
      <c r="H120" s="955"/>
    </row>
    <row r="121" spans="1:8" ht="20.100000000000001" customHeight="1" x14ac:dyDescent="0.2">
      <c r="B121" s="322">
        <v>426</v>
      </c>
      <c r="C121" s="19" t="s">
        <v>541</v>
      </c>
      <c r="D121" s="14" t="s">
        <v>177</v>
      </c>
      <c r="E121" s="960"/>
      <c r="F121" s="960"/>
      <c r="G121" s="960"/>
      <c r="H121" s="955"/>
    </row>
    <row r="122" spans="1:8" ht="20.100000000000001" customHeight="1" x14ac:dyDescent="0.2">
      <c r="B122" s="322">
        <v>428</v>
      </c>
      <c r="C122" s="19" t="s">
        <v>542</v>
      </c>
      <c r="D122" s="14" t="s">
        <v>178</v>
      </c>
      <c r="E122" s="960"/>
      <c r="F122" s="960"/>
      <c r="G122" s="960"/>
      <c r="H122" s="955"/>
    </row>
    <row r="123" spans="1:8" ht="20.100000000000001" customHeight="1" x14ac:dyDescent="0.2">
      <c r="B123" s="322">
        <v>430</v>
      </c>
      <c r="C123" s="19" t="s">
        <v>543</v>
      </c>
      <c r="D123" s="14" t="s">
        <v>179</v>
      </c>
      <c r="E123" s="960">
        <v>18726</v>
      </c>
      <c r="F123" s="960">
        <v>12559</v>
      </c>
      <c r="G123" s="960">
        <v>6393</v>
      </c>
      <c r="H123" s="955">
        <v>226</v>
      </c>
    </row>
    <row r="124" spans="1:8" ht="20.100000000000001" customHeight="1" x14ac:dyDescent="0.2">
      <c r="A124" s="40"/>
      <c r="B124" s="670" t="s">
        <v>544</v>
      </c>
      <c r="C124" s="17" t="s">
        <v>545</v>
      </c>
      <c r="D124" s="668" t="s">
        <v>180</v>
      </c>
      <c r="E124" s="956">
        <f>SUM(E126:E131)</f>
        <v>18329</v>
      </c>
      <c r="F124" s="956">
        <f>SUM(F126:F131)</f>
        <v>13993</v>
      </c>
      <c r="G124" s="956">
        <f>SUM(G126:G131)</f>
        <v>9656</v>
      </c>
      <c r="H124" s="957">
        <f>SUM(H126:H131)</f>
        <v>5320</v>
      </c>
    </row>
    <row r="125" spans="1:8" ht="12.75" customHeight="1" x14ac:dyDescent="0.2">
      <c r="A125" s="40"/>
      <c r="B125" s="670"/>
      <c r="C125" s="18" t="s">
        <v>546</v>
      </c>
      <c r="D125" s="668"/>
      <c r="E125" s="958"/>
      <c r="F125" s="958"/>
      <c r="G125" s="958"/>
      <c r="H125" s="959"/>
    </row>
    <row r="126" spans="1:8" ht="24.75" customHeight="1" x14ac:dyDescent="0.2">
      <c r="B126" s="322" t="s">
        <v>547</v>
      </c>
      <c r="C126" s="19" t="s">
        <v>548</v>
      </c>
      <c r="D126" s="14" t="s">
        <v>181</v>
      </c>
      <c r="E126" s="960"/>
      <c r="F126" s="960"/>
      <c r="G126" s="960"/>
      <c r="H126" s="955"/>
    </row>
    <row r="127" spans="1:8" ht="24.75" customHeight="1" x14ac:dyDescent="0.2">
      <c r="B127" s="322" t="s">
        <v>549</v>
      </c>
      <c r="C127" s="19" t="s">
        <v>550</v>
      </c>
      <c r="D127" s="14" t="s">
        <v>182</v>
      </c>
      <c r="E127" s="960"/>
      <c r="F127" s="960"/>
      <c r="G127" s="960"/>
      <c r="H127" s="955"/>
    </row>
    <row r="128" spans="1:8" ht="20.100000000000001" customHeight="1" x14ac:dyDescent="0.2">
      <c r="B128" s="322">
        <v>435</v>
      </c>
      <c r="C128" s="19" t="s">
        <v>551</v>
      </c>
      <c r="D128" s="14" t="s">
        <v>183</v>
      </c>
      <c r="E128" s="960"/>
      <c r="F128" s="960"/>
      <c r="G128" s="960"/>
      <c r="H128" s="955"/>
    </row>
    <row r="129" spans="1:8" ht="20.100000000000001" customHeight="1" x14ac:dyDescent="0.2">
      <c r="B129" s="322">
        <v>436</v>
      </c>
      <c r="C129" s="19" t="s">
        <v>552</v>
      </c>
      <c r="D129" s="14" t="s">
        <v>184</v>
      </c>
      <c r="E129" s="960"/>
      <c r="F129" s="960"/>
      <c r="G129" s="960"/>
      <c r="H129" s="955"/>
    </row>
    <row r="130" spans="1:8" ht="20.100000000000001" customHeight="1" x14ac:dyDescent="0.2">
      <c r="B130" s="322" t="s">
        <v>553</v>
      </c>
      <c r="C130" s="19" t="s">
        <v>554</v>
      </c>
      <c r="D130" s="14" t="s">
        <v>185</v>
      </c>
      <c r="E130" s="960"/>
      <c r="F130" s="960"/>
      <c r="G130" s="960"/>
      <c r="H130" s="955"/>
    </row>
    <row r="131" spans="1:8" ht="20.100000000000001" customHeight="1" x14ac:dyDescent="0.2">
      <c r="B131" s="322" t="s">
        <v>553</v>
      </c>
      <c r="C131" s="19" t="s">
        <v>555</v>
      </c>
      <c r="D131" s="14" t="s">
        <v>186</v>
      </c>
      <c r="E131" s="960">
        <v>18329</v>
      </c>
      <c r="F131" s="960">
        <v>13993</v>
      </c>
      <c r="G131" s="960">
        <v>9656</v>
      </c>
      <c r="H131" s="955">
        <v>5320</v>
      </c>
    </row>
    <row r="132" spans="1:8" ht="20.100000000000001" customHeight="1" x14ac:dyDescent="0.2">
      <c r="A132" s="40"/>
      <c r="B132" s="670" t="s">
        <v>556</v>
      </c>
      <c r="C132" s="17" t="s">
        <v>557</v>
      </c>
      <c r="D132" s="668" t="s">
        <v>187</v>
      </c>
      <c r="E132" s="956">
        <f>SUM(E134:E136)</f>
        <v>0</v>
      </c>
      <c r="F132" s="956">
        <f>SUM(F134:F136)</f>
        <v>0</v>
      </c>
      <c r="G132" s="956">
        <f>SUM(G134:G136)</f>
        <v>0</v>
      </c>
      <c r="H132" s="957">
        <f>SUM(H134:H136)</f>
        <v>0</v>
      </c>
    </row>
    <row r="133" spans="1:8" ht="15.75" customHeight="1" x14ac:dyDescent="0.2">
      <c r="A133" s="40"/>
      <c r="B133" s="670"/>
      <c r="C133" s="18" t="s">
        <v>558</v>
      </c>
      <c r="D133" s="668"/>
      <c r="E133" s="958"/>
      <c r="F133" s="958"/>
      <c r="G133" s="958"/>
      <c r="H133" s="959"/>
    </row>
    <row r="134" spans="1:8" ht="20.100000000000001" customHeight="1" x14ac:dyDescent="0.2">
      <c r="B134" s="322" t="s">
        <v>784</v>
      </c>
      <c r="C134" s="19" t="s">
        <v>559</v>
      </c>
      <c r="D134" s="14" t="s">
        <v>188</v>
      </c>
      <c r="E134" s="960"/>
      <c r="F134" s="960"/>
      <c r="G134" s="960"/>
      <c r="H134" s="955"/>
    </row>
    <row r="135" spans="1:8" ht="24.75" customHeight="1" x14ac:dyDescent="0.2">
      <c r="B135" s="322" t="s">
        <v>560</v>
      </c>
      <c r="C135" s="19" t="s">
        <v>785</v>
      </c>
      <c r="D135" s="14" t="s">
        <v>189</v>
      </c>
      <c r="E135" s="960"/>
      <c r="F135" s="960"/>
      <c r="G135" s="960"/>
      <c r="H135" s="955"/>
    </row>
    <row r="136" spans="1:8" ht="20.100000000000001" customHeight="1" x14ac:dyDescent="0.2">
      <c r="B136" s="322">
        <v>481</v>
      </c>
      <c r="C136" s="19" t="s">
        <v>561</v>
      </c>
      <c r="D136" s="14" t="s">
        <v>190</v>
      </c>
      <c r="E136" s="960"/>
      <c r="F136" s="960"/>
      <c r="G136" s="960"/>
      <c r="H136" s="955"/>
    </row>
    <row r="137" spans="1:8" ht="36.75" customHeight="1" x14ac:dyDescent="0.2">
      <c r="B137" s="322">
        <v>427</v>
      </c>
      <c r="C137" s="19" t="s">
        <v>562</v>
      </c>
      <c r="D137" s="14" t="s">
        <v>191</v>
      </c>
      <c r="E137" s="960"/>
      <c r="F137" s="960"/>
      <c r="G137" s="960"/>
      <c r="H137" s="955"/>
    </row>
    <row r="138" spans="1:8" ht="36.75" customHeight="1" x14ac:dyDescent="0.2">
      <c r="A138" s="40"/>
      <c r="B138" s="322" t="s">
        <v>563</v>
      </c>
      <c r="C138" s="19" t="s">
        <v>564</v>
      </c>
      <c r="D138" s="14" t="s">
        <v>192</v>
      </c>
      <c r="E138" s="960">
        <v>166462</v>
      </c>
      <c r="F138" s="960">
        <v>153212</v>
      </c>
      <c r="G138" s="960">
        <v>150962</v>
      </c>
      <c r="H138" s="955">
        <v>150962</v>
      </c>
    </row>
    <row r="139" spans="1:8" ht="20.100000000000001" customHeight="1" x14ac:dyDescent="0.2">
      <c r="A139" s="40"/>
      <c r="B139" s="670"/>
      <c r="C139" s="15" t="s">
        <v>565</v>
      </c>
      <c r="D139" s="668" t="s">
        <v>193</v>
      </c>
      <c r="E139" s="956">
        <f>SUM(E84,E89,-E79,-E80,-E81,-E82,-E83,-E85,-E88)</f>
        <v>11993</v>
      </c>
      <c r="F139" s="956">
        <f>SUM(F84,F89,-F79,-F80,-F81,-F82,-F83,-F85,-F88)</f>
        <v>11906</v>
      </c>
      <c r="G139" s="956">
        <f>SUM(G84,G89,-G79,-G80,-G81,-G82,-G83,-G85,-G88)</f>
        <v>11818</v>
      </c>
      <c r="H139" s="957">
        <f>SUM(H84,H89,-H79,-H80,-H81,-H82,-H83,-H85,-H88)</f>
        <v>11731</v>
      </c>
    </row>
    <row r="140" spans="1:8" ht="23.25" customHeight="1" x14ac:dyDescent="0.2">
      <c r="A140" s="40"/>
      <c r="B140" s="670"/>
      <c r="C140" s="16" t="s">
        <v>566</v>
      </c>
      <c r="D140" s="668"/>
      <c r="E140" s="958"/>
      <c r="F140" s="958"/>
      <c r="G140" s="958"/>
      <c r="H140" s="959"/>
    </row>
    <row r="141" spans="1:8" ht="20.100000000000001" customHeight="1" x14ac:dyDescent="0.2">
      <c r="A141" s="40"/>
      <c r="B141" s="670"/>
      <c r="C141" s="15" t="s">
        <v>567</v>
      </c>
      <c r="D141" s="668" t="s">
        <v>194</v>
      </c>
      <c r="E141" s="956">
        <f>SUM(E77,E92,E109,E110,E111,-E139)</f>
        <v>221868</v>
      </c>
      <c r="F141" s="956">
        <f>SUM(F77,F92,F109,F110,F111,-F139)</f>
        <v>198202</v>
      </c>
      <c r="G141" s="956">
        <f>SUM(G77,G92,G109,G110,G111,-G139)</f>
        <v>185537</v>
      </c>
      <c r="H141" s="957">
        <f>SUM(H77,H92,H109,H110,H111,-H139)</f>
        <v>175121</v>
      </c>
    </row>
    <row r="142" spans="1:8" ht="14.25" customHeight="1" x14ac:dyDescent="0.2">
      <c r="A142" s="40"/>
      <c r="B142" s="670"/>
      <c r="C142" s="16" t="s">
        <v>568</v>
      </c>
      <c r="D142" s="668"/>
      <c r="E142" s="958"/>
      <c r="F142" s="958"/>
      <c r="G142" s="958"/>
      <c r="H142" s="959"/>
    </row>
    <row r="143" spans="1:8" ht="20.100000000000001" customHeight="1" thickBot="1" x14ac:dyDescent="0.25">
      <c r="A143" s="40"/>
      <c r="B143" s="323">
        <v>89</v>
      </c>
      <c r="C143" s="25" t="s">
        <v>569</v>
      </c>
      <c r="D143" s="26" t="s">
        <v>195</v>
      </c>
      <c r="E143" s="961">
        <f>SUM(1011803,1680,12000,16000,10000,12750)</f>
        <v>1064233</v>
      </c>
      <c r="F143" s="961">
        <f>SUM(1011803,1680,12000,16000,10000,12750,25000,25000,35000,16000,10000,12750,6600,10000,7881)</f>
        <v>1212464</v>
      </c>
      <c r="G143" s="961">
        <f>SUM(1011803,1680,12000,16000,10000,12750,25000,25000,35000,16000,10000,12750,6600,25000,25000,26750,10000,10000,7881,10000)</f>
        <v>1309214</v>
      </c>
      <c r="H143" s="962">
        <f>SUM(1011803,1680,12000,16000,10000,12750,25000,25000,35000,16000,10000,12750,6600,25000,25000,26750,10000,22250,10000,7881,10000-6000)</f>
        <v>1325464</v>
      </c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>
    <tabColor theme="6" tint="0.59999389629810485"/>
  </sheetPr>
  <dimension ref="A1:J81"/>
  <sheetViews>
    <sheetView showGridLines="0" topLeftCell="A25" workbookViewId="0">
      <selection activeCell="E9" sqref="E9:H81"/>
    </sheetView>
  </sheetViews>
  <sheetFormatPr defaultRowHeight="15.75" x14ac:dyDescent="0.25"/>
  <cols>
    <col min="1" max="1" width="3" style="43" customWidth="1"/>
    <col min="2" max="2" width="18.7109375" style="43" customWidth="1"/>
    <col min="3" max="3" width="69.7109375" style="43" customWidth="1"/>
    <col min="4" max="4" width="9.140625" style="43"/>
    <col min="5" max="8" width="15.7109375" style="3" customWidth="1"/>
    <col min="9" max="16384" width="9.140625" style="43"/>
  </cols>
  <sheetData>
    <row r="1" spans="1:10" x14ac:dyDescent="0.25">
      <c r="H1" s="66" t="s">
        <v>751</v>
      </c>
      <c r="I1" s="51"/>
      <c r="J1" s="51"/>
    </row>
    <row r="2" spans="1:10" ht="20.25" customHeight="1" x14ac:dyDescent="0.25">
      <c r="B2" s="669" t="s">
        <v>572</v>
      </c>
      <c r="C2" s="669"/>
      <c r="D2" s="669"/>
      <c r="E2" s="669"/>
      <c r="F2" s="669"/>
      <c r="G2" s="669"/>
      <c r="H2" s="669"/>
    </row>
    <row r="3" spans="1:10" ht="12" customHeight="1" x14ac:dyDescent="0.25">
      <c r="B3" s="669" t="s">
        <v>822</v>
      </c>
      <c r="C3" s="669"/>
      <c r="D3" s="669"/>
      <c r="E3" s="669"/>
      <c r="F3" s="669"/>
      <c r="G3" s="669"/>
      <c r="H3" s="669"/>
    </row>
    <row r="4" spans="1:10" x14ac:dyDescent="0.25">
      <c r="H4" s="331" t="s">
        <v>198</v>
      </c>
    </row>
    <row r="5" spans="1:10" ht="2.25" customHeight="1" thickBot="1" x14ac:dyDescent="0.3">
      <c r="E5" s="7"/>
      <c r="F5" s="7"/>
      <c r="G5" s="7"/>
      <c r="H5" s="67"/>
    </row>
    <row r="6" spans="1:10" x14ac:dyDescent="0.25">
      <c r="A6" s="48"/>
      <c r="B6" s="749" t="s">
        <v>257</v>
      </c>
      <c r="C6" s="751" t="s">
        <v>258</v>
      </c>
      <c r="D6" s="751" t="s">
        <v>40</v>
      </c>
      <c r="E6" s="746" t="s">
        <v>65</v>
      </c>
      <c r="F6" s="747"/>
      <c r="G6" s="747"/>
      <c r="H6" s="748"/>
    </row>
    <row r="7" spans="1:10" ht="31.5" customHeight="1" x14ac:dyDescent="0.25">
      <c r="A7" s="48"/>
      <c r="B7" s="750"/>
      <c r="C7" s="752"/>
      <c r="D7" s="752"/>
      <c r="E7" s="313" t="s">
        <v>823</v>
      </c>
      <c r="F7" s="313" t="s">
        <v>824</v>
      </c>
      <c r="G7" s="313" t="s">
        <v>825</v>
      </c>
      <c r="H7" s="314" t="s">
        <v>826</v>
      </c>
    </row>
    <row r="8" spans="1:10" ht="14.25" customHeight="1" thickBot="1" x14ac:dyDescent="0.3">
      <c r="A8" s="48"/>
      <c r="B8" s="27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50">
        <v>7</v>
      </c>
    </row>
    <row r="9" spans="1:10" ht="20.100000000000001" customHeight="1" x14ac:dyDescent="0.25">
      <c r="A9" s="48"/>
      <c r="B9" s="678"/>
      <c r="C9" s="49" t="s">
        <v>573</v>
      </c>
      <c r="D9" s="753">
        <v>1001</v>
      </c>
      <c r="E9" s="963">
        <f>SUM(E11,E14,E17,E18,-E19,E20,E21)</f>
        <v>92585</v>
      </c>
      <c r="F9" s="963">
        <f>SUM(F11,F14,F17,F18,-F19,F20,F21)</f>
        <v>289502</v>
      </c>
      <c r="G9" s="963">
        <f>SUM(G11,G14,G17,G18,-G19,G20,G21)</f>
        <v>414491</v>
      </c>
      <c r="H9" s="964">
        <f>SUM(H11,H14,H17,H18,-H19,H20,H21)</f>
        <v>507869</v>
      </c>
    </row>
    <row r="10" spans="1:10" ht="12" customHeight="1" x14ac:dyDescent="0.25">
      <c r="A10" s="48"/>
      <c r="B10" s="675"/>
      <c r="C10" s="16" t="s">
        <v>574</v>
      </c>
      <c r="D10" s="676"/>
      <c r="E10" s="965"/>
      <c r="F10" s="965"/>
      <c r="G10" s="965"/>
      <c r="H10" s="966"/>
    </row>
    <row r="11" spans="1:10" ht="20.100000000000001" customHeight="1" x14ac:dyDescent="0.25">
      <c r="A11" s="48"/>
      <c r="B11" s="28">
        <v>60</v>
      </c>
      <c r="C11" s="19" t="s">
        <v>575</v>
      </c>
      <c r="D11" s="45">
        <v>1002</v>
      </c>
      <c r="E11" s="967">
        <f>SUM(E12:E13)</f>
        <v>0</v>
      </c>
      <c r="F11" s="967">
        <f>SUM(F12:F13)</f>
        <v>0</v>
      </c>
      <c r="G11" s="967">
        <f>SUM(G12:G13)</f>
        <v>0</v>
      </c>
      <c r="H11" s="968">
        <f>SUM(H12:H13)</f>
        <v>0</v>
      </c>
    </row>
    <row r="12" spans="1:10" ht="20.100000000000001" customHeight="1" x14ac:dyDescent="0.25">
      <c r="A12" s="48"/>
      <c r="B12" s="28" t="s">
        <v>576</v>
      </c>
      <c r="C12" s="19" t="s">
        <v>577</v>
      </c>
      <c r="D12" s="45">
        <v>1003</v>
      </c>
      <c r="E12" s="960"/>
      <c r="F12" s="960"/>
      <c r="G12" s="960"/>
      <c r="H12" s="955"/>
    </row>
    <row r="13" spans="1:10" ht="20.100000000000001" customHeight="1" x14ac:dyDescent="0.25">
      <c r="A13" s="48"/>
      <c r="B13" s="28" t="s">
        <v>578</v>
      </c>
      <c r="C13" s="19" t="s">
        <v>579</v>
      </c>
      <c r="D13" s="45">
        <v>1004</v>
      </c>
      <c r="E13" s="960"/>
      <c r="F13" s="960"/>
      <c r="G13" s="960"/>
      <c r="H13" s="955"/>
    </row>
    <row r="14" spans="1:10" ht="20.100000000000001" customHeight="1" x14ac:dyDescent="0.25">
      <c r="A14" s="48"/>
      <c r="B14" s="28">
        <v>61</v>
      </c>
      <c r="C14" s="19" t="s">
        <v>580</v>
      </c>
      <c r="D14" s="45">
        <v>1005</v>
      </c>
      <c r="E14" s="960">
        <f>SUM(E15:E16)</f>
        <v>67668</v>
      </c>
      <c r="F14" s="960">
        <f>SUM(F15:F16)</f>
        <v>239668</v>
      </c>
      <c r="G14" s="960">
        <f>SUM(G15:G16)</f>
        <v>350740</v>
      </c>
      <c r="H14" s="955">
        <f>SUM(H15:H16)</f>
        <v>430511</v>
      </c>
    </row>
    <row r="15" spans="1:10" ht="20.100000000000001" customHeight="1" x14ac:dyDescent="0.25">
      <c r="A15" s="48"/>
      <c r="B15" s="28" t="s">
        <v>581</v>
      </c>
      <c r="C15" s="19" t="s">
        <v>582</v>
      </c>
      <c r="D15" s="45">
        <v>1006</v>
      </c>
      <c r="E15" s="960">
        <v>67668</v>
      </c>
      <c r="F15" s="960">
        <f>SUM(211455,666,9666,10000,7881)</f>
        <v>239668</v>
      </c>
      <c r="G15" s="960">
        <f>SUM(302193,1333,19333,20000,7881)</f>
        <v>350740</v>
      </c>
      <c r="H15" s="955">
        <v>430511</v>
      </c>
    </row>
    <row r="16" spans="1:10" ht="20.100000000000001" customHeight="1" x14ac:dyDescent="0.25">
      <c r="A16" s="48"/>
      <c r="B16" s="28" t="s">
        <v>583</v>
      </c>
      <c r="C16" s="19" t="s">
        <v>584</v>
      </c>
      <c r="D16" s="45">
        <v>1007</v>
      </c>
      <c r="E16" s="960"/>
      <c r="F16" s="960"/>
      <c r="G16" s="960"/>
      <c r="H16" s="955"/>
    </row>
    <row r="17" spans="1:8" ht="20.100000000000001" customHeight="1" x14ac:dyDescent="0.25">
      <c r="A17" s="48"/>
      <c r="B17" s="28">
        <v>62</v>
      </c>
      <c r="C17" s="19" t="s">
        <v>585</v>
      </c>
      <c r="D17" s="45">
        <v>1008</v>
      </c>
      <c r="E17" s="960"/>
      <c r="F17" s="960"/>
      <c r="G17" s="960"/>
      <c r="H17" s="955"/>
    </row>
    <row r="18" spans="1:8" ht="20.100000000000001" customHeight="1" x14ac:dyDescent="0.25">
      <c r="A18" s="48"/>
      <c r="B18" s="28">
        <v>630</v>
      </c>
      <c r="C18" s="19" t="s">
        <v>586</v>
      </c>
      <c r="D18" s="45">
        <v>1009</v>
      </c>
      <c r="E18" s="960"/>
      <c r="F18" s="960"/>
      <c r="G18" s="960"/>
      <c r="H18" s="955"/>
    </row>
    <row r="19" spans="1:8" ht="20.100000000000001" customHeight="1" x14ac:dyDescent="0.25">
      <c r="A19" s="48"/>
      <c r="B19" s="28">
        <v>631</v>
      </c>
      <c r="C19" s="19" t="s">
        <v>587</v>
      </c>
      <c r="D19" s="45">
        <v>1010</v>
      </c>
      <c r="E19" s="960"/>
      <c r="F19" s="960"/>
      <c r="G19" s="960"/>
      <c r="H19" s="955"/>
    </row>
    <row r="20" spans="1:8" ht="20.100000000000001" customHeight="1" x14ac:dyDescent="0.25">
      <c r="A20" s="48"/>
      <c r="B20" s="28" t="s">
        <v>588</v>
      </c>
      <c r="C20" s="19" t="s">
        <v>589</v>
      </c>
      <c r="D20" s="45">
        <v>1011</v>
      </c>
      <c r="E20" s="960">
        <f>SUM(24717,200)</f>
        <v>24917</v>
      </c>
      <c r="F20" s="960">
        <f>SUM(49434,400)</f>
        <v>49834</v>
      </c>
      <c r="G20" s="960">
        <f>SUM(63151,600)</f>
        <v>63751</v>
      </c>
      <c r="H20" s="955">
        <f>SUM(76558,800)</f>
        <v>77358</v>
      </c>
    </row>
    <row r="21" spans="1:8" ht="25.5" customHeight="1" x14ac:dyDescent="0.25">
      <c r="A21" s="48"/>
      <c r="B21" s="28" t="s">
        <v>590</v>
      </c>
      <c r="C21" s="19" t="s">
        <v>591</v>
      </c>
      <c r="D21" s="45">
        <v>1012</v>
      </c>
      <c r="E21" s="960"/>
      <c r="F21" s="960"/>
      <c r="G21" s="960"/>
      <c r="H21" s="955"/>
    </row>
    <row r="22" spans="1:8" ht="20.100000000000001" customHeight="1" x14ac:dyDescent="0.25">
      <c r="A22" s="48"/>
      <c r="B22" s="28"/>
      <c r="C22" s="13" t="s">
        <v>592</v>
      </c>
      <c r="D22" s="45">
        <v>1013</v>
      </c>
      <c r="E22" s="960">
        <f>SUM(E23:E25,E29:E33)</f>
        <v>92015</v>
      </c>
      <c r="F22" s="960">
        <f>SUM(F23:F25,F29:F33)</f>
        <v>288362</v>
      </c>
      <c r="G22" s="960">
        <f>SUM(G23:G25,G29:G33)</f>
        <v>412781</v>
      </c>
      <c r="H22" s="955">
        <f>SUM(H23:H25,H29:H33)</f>
        <v>505589</v>
      </c>
    </row>
    <row r="23" spans="1:8" ht="20.100000000000001" customHeight="1" x14ac:dyDescent="0.25">
      <c r="A23" s="48"/>
      <c r="B23" s="28">
        <v>50</v>
      </c>
      <c r="C23" s="19" t="s">
        <v>593</v>
      </c>
      <c r="D23" s="45">
        <v>1014</v>
      </c>
      <c r="E23" s="960"/>
      <c r="F23" s="960"/>
      <c r="G23" s="960"/>
      <c r="H23" s="955"/>
    </row>
    <row r="24" spans="1:8" ht="20.100000000000001" customHeight="1" x14ac:dyDescent="0.25">
      <c r="A24" s="48"/>
      <c r="B24" s="28">
        <v>51</v>
      </c>
      <c r="C24" s="19" t="s">
        <v>594</v>
      </c>
      <c r="D24" s="45">
        <v>1015</v>
      </c>
      <c r="E24" s="960">
        <f>SUM(13250,1292)</f>
        <v>14542</v>
      </c>
      <c r="F24" s="960">
        <f>SUM(14542,13250,1293)</f>
        <v>29085</v>
      </c>
      <c r="G24" s="960">
        <f>SUM(29085,2250,1292)</f>
        <v>32627</v>
      </c>
      <c r="H24" s="955">
        <f>SUM(32627,1293,)</f>
        <v>33920</v>
      </c>
    </row>
    <row r="25" spans="1:8" ht="25.5" customHeight="1" x14ac:dyDescent="0.25">
      <c r="A25" s="48"/>
      <c r="B25" s="28">
        <v>52</v>
      </c>
      <c r="C25" s="19" t="s">
        <v>595</v>
      </c>
      <c r="D25" s="45">
        <v>1016</v>
      </c>
      <c r="E25" s="960">
        <f>SUM(E26:E28)</f>
        <v>8112</v>
      </c>
      <c r="F25" s="960">
        <f>SUM(F26:F28)</f>
        <v>16222</v>
      </c>
      <c r="G25" s="960">
        <f>SUM(G26:G28)</f>
        <v>24334</v>
      </c>
      <c r="H25" s="955">
        <f>SUM(H26:H28)</f>
        <v>32446</v>
      </c>
    </row>
    <row r="26" spans="1:8" ht="20.100000000000001" customHeight="1" x14ac:dyDescent="0.25">
      <c r="A26" s="48"/>
      <c r="B26" s="28">
        <v>520</v>
      </c>
      <c r="C26" s="19" t="s">
        <v>596</v>
      </c>
      <c r="D26" s="45">
        <v>1017</v>
      </c>
      <c r="E26" s="960">
        <f>SUM(6063)</f>
        <v>6063</v>
      </c>
      <c r="F26" s="960">
        <f>SUM(6063,6062)</f>
        <v>12125</v>
      </c>
      <c r="G26" s="960">
        <f>SUM(6063,6062,6063)</f>
        <v>18188</v>
      </c>
      <c r="H26" s="955">
        <f>SUM(6063,6063,6063,6062)</f>
        <v>24251</v>
      </c>
    </row>
    <row r="27" spans="1:8" ht="20.100000000000001" customHeight="1" x14ac:dyDescent="0.25">
      <c r="A27" s="48"/>
      <c r="B27" s="28">
        <v>521</v>
      </c>
      <c r="C27" s="19" t="s">
        <v>597</v>
      </c>
      <c r="D27" s="45">
        <v>1018</v>
      </c>
      <c r="E27" s="960">
        <f>SUM(919)</f>
        <v>919</v>
      </c>
      <c r="F27" s="960">
        <f>SUM(919,918)</f>
        <v>1837</v>
      </c>
      <c r="G27" s="960">
        <f>SUM(919,918,919)</f>
        <v>2756</v>
      </c>
      <c r="H27" s="955">
        <f>SUM(919,919,918,918)</f>
        <v>3674</v>
      </c>
    </row>
    <row r="28" spans="1:8" ht="20.100000000000001" customHeight="1" x14ac:dyDescent="0.25">
      <c r="A28" s="48"/>
      <c r="B28" s="28" t="s">
        <v>789</v>
      </c>
      <c r="C28" s="19" t="s">
        <v>599</v>
      </c>
      <c r="D28" s="45">
        <v>1019</v>
      </c>
      <c r="E28" s="960">
        <v>1130</v>
      </c>
      <c r="F28" s="960">
        <v>2260</v>
      </c>
      <c r="G28" s="960">
        <v>3390</v>
      </c>
      <c r="H28" s="955">
        <v>4521</v>
      </c>
    </row>
    <row r="29" spans="1:8" ht="20.100000000000001" customHeight="1" x14ac:dyDescent="0.25">
      <c r="A29" s="48"/>
      <c r="B29" s="28">
        <v>540</v>
      </c>
      <c r="C29" s="19" t="s">
        <v>600</v>
      </c>
      <c r="D29" s="45">
        <v>1020</v>
      </c>
      <c r="E29" s="960">
        <v>200</v>
      </c>
      <c r="F29" s="960">
        <v>400</v>
      </c>
      <c r="G29" s="960">
        <v>600</v>
      </c>
      <c r="H29" s="955">
        <v>800</v>
      </c>
    </row>
    <row r="30" spans="1:8" ht="25.5" customHeight="1" x14ac:dyDescent="0.25">
      <c r="A30" s="48"/>
      <c r="B30" s="28" t="s">
        <v>601</v>
      </c>
      <c r="C30" s="19" t="s">
        <v>602</v>
      </c>
      <c r="D30" s="45">
        <v>1021</v>
      </c>
      <c r="E30" s="960"/>
      <c r="F30" s="960"/>
      <c r="G30" s="960"/>
      <c r="H30" s="955"/>
    </row>
    <row r="31" spans="1:8" ht="20.100000000000001" customHeight="1" x14ac:dyDescent="0.25">
      <c r="A31" s="48"/>
      <c r="B31" s="28">
        <v>53</v>
      </c>
      <c r="C31" s="19" t="s">
        <v>603</v>
      </c>
      <c r="D31" s="45">
        <v>1022</v>
      </c>
      <c r="E31" s="960">
        <v>54691</v>
      </c>
      <c r="F31" s="960">
        <v>206142</v>
      </c>
      <c r="G31" s="960">
        <v>315960</v>
      </c>
      <c r="H31" s="955">
        <f>SUM(54723,123243,89542,25042,2000,29000,20000,7881,330,44112)</f>
        <v>395873</v>
      </c>
    </row>
    <row r="32" spans="1:8" ht="20.100000000000001" customHeight="1" x14ac:dyDescent="0.25">
      <c r="A32" s="48"/>
      <c r="B32" s="28" t="s">
        <v>604</v>
      </c>
      <c r="C32" s="19" t="s">
        <v>605</v>
      </c>
      <c r="D32" s="45">
        <v>1023</v>
      </c>
      <c r="E32" s="960"/>
      <c r="F32" s="960"/>
      <c r="G32" s="960"/>
      <c r="H32" s="955"/>
    </row>
    <row r="33" spans="1:8" ht="20.100000000000001" customHeight="1" x14ac:dyDescent="0.25">
      <c r="A33" s="48"/>
      <c r="B33" s="28">
        <v>55</v>
      </c>
      <c r="C33" s="19" t="s">
        <v>606</v>
      </c>
      <c r="D33" s="45">
        <v>1024</v>
      </c>
      <c r="E33" s="960">
        <f>SUM(14545,15,-90)</f>
        <v>14470</v>
      </c>
      <c r="F33" s="960">
        <f>SUM(14545,22145,3,-180)</f>
        <v>36513</v>
      </c>
      <c r="G33" s="960">
        <f>SUM(14545,22145,2795,45,-270)</f>
        <v>39260</v>
      </c>
      <c r="H33" s="955">
        <f>SUM(14545,22145,2795,2795,60,-360,570)</f>
        <v>42550</v>
      </c>
    </row>
    <row r="34" spans="1:8" ht="20.100000000000001" customHeight="1" x14ac:dyDescent="0.25">
      <c r="A34" s="48"/>
      <c r="B34" s="28"/>
      <c r="C34" s="13" t="s">
        <v>607</v>
      </c>
      <c r="D34" s="45">
        <v>1025</v>
      </c>
      <c r="E34" s="960">
        <f>SUM(E9-E22)</f>
        <v>570</v>
      </c>
      <c r="F34" s="960">
        <f>SUM(F9-F22)</f>
        <v>1140</v>
      </c>
      <c r="G34" s="960">
        <f>SUM(G9-G22)</f>
        <v>1710</v>
      </c>
      <c r="H34" s="955">
        <f>SUM(H9-H22)</f>
        <v>2280</v>
      </c>
    </row>
    <row r="35" spans="1:8" ht="20.100000000000001" customHeight="1" x14ac:dyDescent="0.25">
      <c r="A35" s="48"/>
      <c r="B35" s="28"/>
      <c r="C35" s="13" t="s">
        <v>608</v>
      </c>
      <c r="D35" s="45">
        <v>1026</v>
      </c>
      <c r="E35" s="960"/>
      <c r="F35" s="960"/>
      <c r="G35" s="960"/>
      <c r="H35" s="955"/>
    </row>
    <row r="36" spans="1:8" ht="20.100000000000001" customHeight="1" x14ac:dyDescent="0.25">
      <c r="A36" s="48"/>
      <c r="B36" s="675"/>
      <c r="C36" s="15" t="s">
        <v>609</v>
      </c>
      <c r="D36" s="676">
        <v>1027</v>
      </c>
      <c r="E36" s="956">
        <f>SUM(E38:E41)</f>
        <v>0</v>
      </c>
      <c r="F36" s="956">
        <f>SUM(F38:F41)</f>
        <v>0</v>
      </c>
      <c r="G36" s="956">
        <f>SUM(G38:G41)</f>
        <v>0</v>
      </c>
      <c r="H36" s="957">
        <f>SUM(H38:H41)</f>
        <v>0</v>
      </c>
    </row>
    <row r="37" spans="1:8" ht="10.5" customHeight="1" x14ac:dyDescent="0.25">
      <c r="A37" s="48"/>
      <c r="B37" s="675"/>
      <c r="C37" s="16" t="s">
        <v>610</v>
      </c>
      <c r="D37" s="676"/>
      <c r="E37" s="958"/>
      <c r="F37" s="958"/>
      <c r="G37" s="958"/>
      <c r="H37" s="959"/>
    </row>
    <row r="38" spans="1:8" ht="24" customHeight="1" x14ac:dyDescent="0.25">
      <c r="A38" s="48"/>
      <c r="B38" s="28" t="s">
        <v>611</v>
      </c>
      <c r="C38" s="19" t="s">
        <v>612</v>
      </c>
      <c r="D38" s="45">
        <v>1028</v>
      </c>
      <c r="E38" s="960"/>
      <c r="F38" s="960"/>
      <c r="G38" s="960"/>
      <c r="H38" s="955"/>
    </row>
    <row r="39" spans="1:8" ht="20.100000000000001" customHeight="1" x14ac:dyDescent="0.25">
      <c r="A39" s="48"/>
      <c r="B39" s="28">
        <v>662</v>
      </c>
      <c r="C39" s="19" t="s">
        <v>613</v>
      </c>
      <c r="D39" s="45">
        <v>1029</v>
      </c>
      <c r="E39" s="960"/>
      <c r="F39" s="960"/>
      <c r="G39" s="960"/>
      <c r="H39" s="955"/>
    </row>
    <row r="40" spans="1:8" ht="20.100000000000001" customHeight="1" x14ac:dyDescent="0.25">
      <c r="A40" s="48"/>
      <c r="B40" s="28" t="s">
        <v>109</v>
      </c>
      <c r="C40" s="19" t="s">
        <v>614</v>
      </c>
      <c r="D40" s="45">
        <v>1030</v>
      </c>
      <c r="E40" s="960"/>
      <c r="F40" s="960"/>
      <c r="G40" s="960"/>
      <c r="H40" s="955"/>
    </row>
    <row r="41" spans="1:8" ht="20.100000000000001" customHeight="1" x14ac:dyDescent="0.25">
      <c r="A41" s="48"/>
      <c r="B41" s="28" t="s">
        <v>615</v>
      </c>
      <c r="C41" s="19" t="s">
        <v>616</v>
      </c>
      <c r="D41" s="45">
        <v>1031</v>
      </c>
      <c r="E41" s="960"/>
      <c r="F41" s="960"/>
      <c r="G41" s="960"/>
      <c r="H41" s="955"/>
    </row>
    <row r="42" spans="1:8" ht="20.100000000000001" customHeight="1" x14ac:dyDescent="0.25">
      <c r="A42" s="48"/>
      <c r="B42" s="675"/>
      <c r="C42" s="15" t="s">
        <v>617</v>
      </c>
      <c r="D42" s="676">
        <v>1032</v>
      </c>
      <c r="E42" s="956">
        <f>SUM(E44:E47)</f>
        <v>0</v>
      </c>
      <c r="F42" s="956">
        <f>SUM(F44:F47)</f>
        <v>0</v>
      </c>
      <c r="G42" s="956">
        <f>SUM(G44:G47)</f>
        <v>0</v>
      </c>
      <c r="H42" s="957">
        <f>SUM(H44:H47)</f>
        <v>0</v>
      </c>
    </row>
    <row r="43" spans="1:8" ht="10.5" customHeight="1" x14ac:dyDescent="0.25">
      <c r="A43" s="48"/>
      <c r="B43" s="675"/>
      <c r="C43" s="16" t="s">
        <v>618</v>
      </c>
      <c r="D43" s="676"/>
      <c r="E43" s="958"/>
      <c r="F43" s="958"/>
      <c r="G43" s="958"/>
      <c r="H43" s="959"/>
    </row>
    <row r="44" spans="1:8" ht="27.75" customHeight="1" x14ac:dyDescent="0.25">
      <c r="A44" s="48"/>
      <c r="B44" s="28" t="s">
        <v>619</v>
      </c>
      <c r="C44" s="19" t="s">
        <v>620</v>
      </c>
      <c r="D44" s="45">
        <v>1033</v>
      </c>
      <c r="E44" s="960"/>
      <c r="F44" s="960"/>
      <c r="G44" s="960"/>
      <c r="H44" s="955"/>
    </row>
    <row r="45" spans="1:8" ht="20.100000000000001" customHeight="1" x14ac:dyDescent="0.25">
      <c r="A45" s="48"/>
      <c r="B45" s="28">
        <v>562</v>
      </c>
      <c r="C45" s="19" t="s">
        <v>621</v>
      </c>
      <c r="D45" s="45">
        <v>1034</v>
      </c>
      <c r="E45" s="960"/>
      <c r="F45" s="960"/>
      <c r="G45" s="960"/>
      <c r="H45" s="955"/>
    </row>
    <row r="46" spans="1:8" ht="20.100000000000001" customHeight="1" x14ac:dyDescent="0.25">
      <c r="A46" s="48"/>
      <c r="B46" s="28" t="s">
        <v>134</v>
      </c>
      <c r="C46" s="19" t="s">
        <v>622</v>
      </c>
      <c r="D46" s="45">
        <v>1035</v>
      </c>
      <c r="E46" s="960"/>
      <c r="F46" s="960"/>
      <c r="G46" s="960"/>
      <c r="H46" s="955"/>
    </row>
    <row r="47" spans="1:8" ht="20.100000000000001" customHeight="1" x14ac:dyDescent="0.25">
      <c r="A47" s="48"/>
      <c r="B47" s="28" t="s">
        <v>623</v>
      </c>
      <c r="C47" s="19" t="s">
        <v>624</v>
      </c>
      <c r="D47" s="45">
        <v>1036</v>
      </c>
      <c r="E47" s="960"/>
      <c r="F47" s="960"/>
      <c r="G47" s="960"/>
      <c r="H47" s="955"/>
    </row>
    <row r="48" spans="1:8" ht="20.100000000000001" customHeight="1" x14ac:dyDescent="0.25">
      <c r="A48" s="48"/>
      <c r="B48" s="28"/>
      <c r="C48" s="13" t="s">
        <v>625</v>
      </c>
      <c r="D48" s="45">
        <v>1037</v>
      </c>
      <c r="E48" s="960">
        <f>SUM(E36-E42)</f>
        <v>0</v>
      </c>
      <c r="F48" s="960">
        <f>SUM(F36-F42)</f>
        <v>0</v>
      </c>
      <c r="G48" s="960">
        <f>SUM(G36-G42)</f>
        <v>0</v>
      </c>
      <c r="H48" s="955">
        <f>SUM(H36-H42)</f>
        <v>0</v>
      </c>
    </row>
    <row r="49" spans="1:8" ht="20.100000000000001" customHeight="1" x14ac:dyDescent="0.25">
      <c r="A49" s="48"/>
      <c r="B49" s="28"/>
      <c r="C49" s="13" t="s">
        <v>626</v>
      </c>
      <c r="D49" s="45">
        <v>1038</v>
      </c>
      <c r="E49" s="960">
        <f>SUM(E42-E36)</f>
        <v>0</v>
      </c>
      <c r="F49" s="960">
        <f>SUM(F42-F36)</f>
        <v>0</v>
      </c>
      <c r="G49" s="960">
        <f>SUM(G42-G36)</f>
        <v>0</v>
      </c>
      <c r="H49" s="955">
        <f>SUM(H42-H36)</f>
        <v>0</v>
      </c>
    </row>
    <row r="50" spans="1:8" ht="28.5" customHeight="1" x14ac:dyDescent="0.25">
      <c r="A50" s="48"/>
      <c r="B50" s="28" t="s">
        <v>627</v>
      </c>
      <c r="C50" s="13" t="s">
        <v>628</v>
      </c>
      <c r="D50" s="45">
        <v>1039</v>
      </c>
      <c r="E50" s="960"/>
      <c r="F50" s="960"/>
      <c r="G50" s="960"/>
      <c r="H50" s="955"/>
    </row>
    <row r="51" spans="1:8" ht="30" customHeight="1" x14ac:dyDescent="0.25">
      <c r="A51" s="48"/>
      <c r="B51" s="28" t="s">
        <v>629</v>
      </c>
      <c r="C51" s="13" t="s">
        <v>630</v>
      </c>
      <c r="D51" s="45">
        <v>1040</v>
      </c>
      <c r="E51" s="960"/>
      <c r="F51" s="960"/>
      <c r="G51" s="960"/>
      <c r="H51" s="955"/>
    </row>
    <row r="52" spans="1:8" ht="20.100000000000001" customHeight="1" x14ac:dyDescent="0.25">
      <c r="A52" s="48"/>
      <c r="B52" s="28">
        <v>67</v>
      </c>
      <c r="C52" s="13" t="s">
        <v>631</v>
      </c>
      <c r="D52" s="45">
        <v>1041</v>
      </c>
      <c r="E52" s="960"/>
      <c r="F52" s="960"/>
      <c r="G52" s="960"/>
      <c r="H52" s="955"/>
    </row>
    <row r="53" spans="1:8" ht="20.100000000000001" customHeight="1" x14ac:dyDescent="0.25">
      <c r="A53" s="48"/>
      <c r="B53" s="28">
        <v>57</v>
      </c>
      <c r="C53" s="13" t="s">
        <v>632</v>
      </c>
      <c r="D53" s="45">
        <v>1042</v>
      </c>
      <c r="E53" s="960">
        <v>482</v>
      </c>
      <c r="F53" s="960">
        <v>965</v>
      </c>
      <c r="G53" s="960">
        <v>1447</v>
      </c>
      <c r="H53" s="955">
        <v>1930</v>
      </c>
    </row>
    <row r="54" spans="1:8" ht="20.100000000000001" customHeight="1" x14ac:dyDescent="0.25">
      <c r="A54" s="48"/>
      <c r="B54" s="675"/>
      <c r="C54" s="15" t="s">
        <v>633</v>
      </c>
      <c r="D54" s="676">
        <v>1043</v>
      </c>
      <c r="E54" s="956">
        <f>SUM(E9,E36,E50,E52)</f>
        <v>92585</v>
      </c>
      <c r="F54" s="956">
        <f>SUM(F9,F36,F50,F52)</f>
        <v>289502</v>
      </c>
      <c r="G54" s="956">
        <f>SUM(G9,G36,G50,G52)</f>
        <v>414491</v>
      </c>
      <c r="H54" s="957">
        <f>SUM(H9,H36,H50,H52)</f>
        <v>507869</v>
      </c>
    </row>
    <row r="55" spans="1:8" ht="12" customHeight="1" x14ac:dyDescent="0.25">
      <c r="A55" s="48"/>
      <c r="B55" s="675"/>
      <c r="C55" s="16" t="s">
        <v>634</v>
      </c>
      <c r="D55" s="676"/>
      <c r="E55" s="958"/>
      <c r="F55" s="958"/>
      <c r="G55" s="958"/>
      <c r="H55" s="959"/>
    </row>
    <row r="56" spans="1:8" ht="20.100000000000001" customHeight="1" x14ac:dyDescent="0.25">
      <c r="A56" s="48"/>
      <c r="B56" s="675"/>
      <c r="C56" s="15" t="s">
        <v>635</v>
      </c>
      <c r="D56" s="676">
        <v>1044</v>
      </c>
      <c r="E56" s="956">
        <f>SUM(E22,E42,E51,E53)</f>
        <v>92497</v>
      </c>
      <c r="F56" s="956">
        <f>SUM(F22,F42,F51,F53)</f>
        <v>289327</v>
      </c>
      <c r="G56" s="956">
        <f>SUM(G22,G42,G51,G53)</f>
        <v>414228</v>
      </c>
      <c r="H56" s="957">
        <f>SUM(H22,H42,H51,H53)</f>
        <v>507519</v>
      </c>
    </row>
    <row r="57" spans="1:8" ht="13.5" customHeight="1" x14ac:dyDescent="0.25">
      <c r="A57" s="48"/>
      <c r="B57" s="675"/>
      <c r="C57" s="16" t="s">
        <v>636</v>
      </c>
      <c r="D57" s="676"/>
      <c r="E57" s="958"/>
      <c r="F57" s="958"/>
      <c r="G57" s="958"/>
      <c r="H57" s="959"/>
    </row>
    <row r="58" spans="1:8" ht="20.100000000000001" customHeight="1" x14ac:dyDescent="0.25">
      <c r="A58" s="48"/>
      <c r="B58" s="28"/>
      <c r="C58" s="13" t="s">
        <v>637</v>
      </c>
      <c r="D58" s="45">
        <v>1045</v>
      </c>
      <c r="E58" s="960">
        <f>SUM(E54-E56)</f>
        <v>88</v>
      </c>
      <c r="F58" s="960">
        <f>SUM(F54-F56)</f>
        <v>175</v>
      </c>
      <c r="G58" s="960">
        <f>SUM(G54-G56)</f>
        <v>263</v>
      </c>
      <c r="H58" s="955">
        <f>SUM(H54-H56)</f>
        <v>350</v>
      </c>
    </row>
    <row r="59" spans="1:8" ht="20.100000000000001" customHeight="1" x14ac:dyDescent="0.25">
      <c r="A59" s="48"/>
      <c r="B59" s="28"/>
      <c r="C59" s="13" t="s">
        <v>638</v>
      </c>
      <c r="D59" s="45">
        <v>1046</v>
      </c>
      <c r="E59" s="960"/>
      <c r="F59" s="960"/>
      <c r="G59" s="960"/>
      <c r="H59" s="955"/>
    </row>
    <row r="60" spans="1:8" ht="41.25" customHeight="1" x14ac:dyDescent="0.25">
      <c r="A60" s="48"/>
      <c r="B60" s="28" t="s">
        <v>135</v>
      </c>
      <c r="C60" s="13" t="s">
        <v>639</v>
      </c>
      <c r="D60" s="45">
        <v>1047</v>
      </c>
      <c r="E60" s="960"/>
      <c r="F60" s="960"/>
      <c r="G60" s="960"/>
      <c r="H60" s="955"/>
    </row>
    <row r="61" spans="1:8" ht="42" customHeight="1" x14ac:dyDescent="0.25">
      <c r="A61" s="48"/>
      <c r="B61" s="28" t="s">
        <v>640</v>
      </c>
      <c r="C61" s="13" t="s">
        <v>641</v>
      </c>
      <c r="D61" s="45">
        <v>1048</v>
      </c>
      <c r="E61" s="960"/>
      <c r="F61" s="960"/>
      <c r="G61" s="960"/>
      <c r="H61" s="955"/>
    </row>
    <row r="62" spans="1:8" ht="20.100000000000001" customHeight="1" x14ac:dyDescent="0.25">
      <c r="A62" s="48"/>
      <c r="B62" s="675"/>
      <c r="C62" s="15" t="s">
        <v>642</v>
      </c>
      <c r="D62" s="676">
        <v>1049</v>
      </c>
      <c r="E62" s="956">
        <f>SUM(E58-E59,E60-E61)</f>
        <v>88</v>
      </c>
      <c r="F62" s="956">
        <f>SUM(F58-F59,F60-F61)</f>
        <v>175</v>
      </c>
      <c r="G62" s="956">
        <f>SUM(G58-G59,G60-G61)</f>
        <v>263</v>
      </c>
      <c r="H62" s="957">
        <f>SUM(H58-H59,H60-H61)</f>
        <v>350</v>
      </c>
    </row>
    <row r="63" spans="1:8" ht="12.75" customHeight="1" x14ac:dyDescent="0.25">
      <c r="A63" s="48"/>
      <c r="B63" s="675"/>
      <c r="C63" s="16" t="s">
        <v>643</v>
      </c>
      <c r="D63" s="676"/>
      <c r="E63" s="958"/>
      <c r="F63" s="958"/>
      <c r="G63" s="958"/>
      <c r="H63" s="959"/>
    </row>
    <row r="64" spans="1:8" ht="20.100000000000001" customHeight="1" x14ac:dyDescent="0.25">
      <c r="A64" s="48"/>
      <c r="B64" s="675"/>
      <c r="C64" s="15" t="s">
        <v>644</v>
      </c>
      <c r="D64" s="676">
        <v>1050</v>
      </c>
      <c r="E64" s="956"/>
      <c r="F64" s="956"/>
      <c r="G64" s="956"/>
      <c r="H64" s="957"/>
    </row>
    <row r="65" spans="1:8" ht="10.5" customHeight="1" x14ac:dyDescent="0.25">
      <c r="A65" s="48"/>
      <c r="B65" s="675"/>
      <c r="C65" s="16" t="s">
        <v>645</v>
      </c>
      <c r="D65" s="676"/>
      <c r="E65" s="958"/>
      <c r="F65" s="958"/>
      <c r="G65" s="958"/>
      <c r="H65" s="959"/>
    </row>
    <row r="66" spans="1:8" ht="20.100000000000001" customHeight="1" x14ac:dyDescent="0.25">
      <c r="A66" s="48"/>
      <c r="B66" s="28"/>
      <c r="C66" s="13" t="s">
        <v>646</v>
      </c>
      <c r="D66" s="45"/>
      <c r="E66" s="960"/>
      <c r="F66" s="960"/>
      <c r="G66" s="960"/>
      <c r="H66" s="955"/>
    </row>
    <row r="67" spans="1:8" ht="20.100000000000001" customHeight="1" x14ac:dyDescent="0.25">
      <c r="A67" s="48"/>
      <c r="B67" s="28">
        <v>721</v>
      </c>
      <c r="C67" s="19" t="s">
        <v>647</v>
      </c>
      <c r="D67" s="45">
        <v>1051</v>
      </c>
      <c r="E67" s="960"/>
      <c r="F67" s="960"/>
      <c r="G67" s="960"/>
      <c r="H67" s="955"/>
    </row>
    <row r="68" spans="1:8" ht="20.100000000000001" customHeight="1" x14ac:dyDescent="0.25">
      <c r="A68" s="48"/>
      <c r="B68" s="28" t="s">
        <v>662</v>
      </c>
      <c r="C68" s="19" t="s">
        <v>648</v>
      </c>
      <c r="D68" s="45">
        <v>1052</v>
      </c>
      <c r="E68" s="960"/>
      <c r="F68" s="960"/>
      <c r="G68" s="960"/>
      <c r="H68" s="955"/>
    </row>
    <row r="69" spans="1:8" ht="20.100000000000001" customHeight="1" x14ac:dyDescent="0.25">
      <c r="A69" s="48"/>
      <c r="B69" s="28" t="s">
        <v>663</v>
      </c>
      <c r="C69" s="19" t="s">
        <v>649</v>
      </c>
      <c r="D69" s="45">
        <v>1053</v>
      </c>
      <c r="E69" s="960"/>
      <c r="F69" s="960"/>
      <c r="G69" s="960"/>
      <c r="H69" s="955"/>
    </row>
    <row r="70" spans="1:8" ht="20.100000000000001" customHeight="1" x14ac:dyDescent="0.25">
      <c r="A70" s="48"/>
      <c r="B70" s="28">
        <v>723</v>
      </c>
      <c r="C70" s="13" t="s">
        <v>650</v>
      </c>
      <c r="D70" s="45">
        <v>1054</v>
      </c>
      <c r="E70" s="960"/>
      <c r="F70" s="960"/>
      <c r="G70" s="960"/>
      <c r="H70" s="955"/>
    </row>
    <row r="71" spans="1:8" ht="20.100000000000001" customHeight="1" x14ac:dyDescent="0.25">
      <c r="A71" s="48"/>
      <c r="B71" s="675"/>
      <c r="C71" s="15" t="s">
        <v>651</v>
      </c>
      <c r="D71" s="676">
        <v>1055</v>
      </c>
      <c r="E71" s="956">
        <f>SUM(E62,-E64,-E67,-E68,E69,-E70)</f>
        <v>88</v>
      </c>
      <c r="F71" s="956">
        <f>SUM(F62,-F64,-F67,-F68,F69,-F70)</f>
        <v>175</v>
      </c>
      <c r="G71" s="956">
        <f>SUM(G62,-G64,-G67,-G68,G69,-G70)</f>
        <v>263</v>
      </c>
      <c r="H71" s="957">
        <f>SUM(H62,-H64,-H67,-H68,H69,-H70)</f>
        <v>350</v>
      </c>
    </row>
    <row r="72" spans="1:8" ht="12.75" customHeight="1" x14ac:dyDescent="0.25">
      <c r="A72" s="48"/>
      <c r="B72" s="675"/>
      <c r="C72" s="16" t="s">
        <v>652</v>
      </c>
      <c r="D72" s="676"/>
      <c r="E72" s="958"/>
      <c r="F72" s="958"/>
      <c r="G72" s="958"/>
      <c r="H72" s="959"/>
    </row>
    <row r="73" spans="1:8" ht="20.100000000000001" customHeight="1" x14ac:dyDescent="0.25">
      <c r="A73" s="48"/>
      <c r="B73" s="675"/>
      <c r="C73" s="15" t="s">
        <v>653</v>
      </c>
      <c r="D73" s="676">
        <v>1056</v>
      </c>
      <c r="E73" s="956"/>
      <c r="F73" s="956"/>
      <c r="G73" s="956"/>
      <c r="H73" s="957"/>
    </row>
    <row r="74" spans="1:8" ht="12" customHeight="1" x14ac:dyDescent="0.25">
      <c r="A74" s="48"/>
      <c r="B74" s="675"/>
      <c r="C74" s="16" t="s">
        <v>654</v>
      </c>
      <c r="D74" s="676"/>
      <c r="E74" s="958"/>
      <c r="F74" s="958"/>
      <c r="G74" s="958"/>
      <c r="H74" s="959"/>
    </row>
    <row r="75" spans="1:8" ht="20.100000000000001" customHeight="1" x14ac:dyDescent="0.25">
      <c r="A75" s="48"/>
      <c r="B75" s="28"/>
      <c r="C75" s="19" t="s">
        <v>655</v>
      </c>
      <c r="D75" s="45">
        <v>1057</v>
      </c>
      <c r="E75" s="960"/>
      <c r="F75" s="960"/>
      <c r="G75" s="960"/>
      <c r="H75" s="955"/>
    </row>
    <row r="76" spans="1:8" ht="20.100000000000001" customHeight="1" x14ac:dyDescent="0.25">
      <c r="A76" s="48"/>
      <c r="B76" s="28"/>
      <c r="C76" s="19" t="s">
        <v>790</v>
      </c>
      <c r="D76" s="45">
        <v>1058</v>
      </c>
      <c r="E76" s="960"/>
      <c r="F76" s="960"/>
      <c r="G76" s="960"/>
      <c r="H76" s="955"/>
    </row>
    <row r="77" spans="1:8" ht="20.100000000000001" customHeight="1" x14ac:dyDescent="0.25">
      <c r="A77" s="48"/>
      <c r="B77" s="28"/>
      <c r="C77" s="19" t="s">
        <v>656</v>
      </c>
      <c r="D77" s="45">
        <v>1059</v>
      </c>
      <c r="E77" s="960"/>
      <c r="F77" s="960"/>
      <c r="G77" s="960"/>
      <c r="H77" s="955"/>
    </row>
    <row r="78" spans="1:8" ht="20.100000000000001" customHeight="1" x14ac:dyDescent="0.25">
      <c r="A78" s="48"/>
      <c r="B78" s="28"/>
      <c r="C78" s="19" t="s">
        <v>657</v>
      </c>
      <c r="D78" s="45">
        <v>1060</v>
      </c>
      <c r="E78" s="960"/>
      <c r="F78" s="960"/>
      <c r="G78" s="960"/>
      <c r="H78" s="955"/>
    </row>
    <row r="79" spans="1:8" ht="20.100000000000001" customHeight="1" x14ac:dyDescent="0.25">
      <c r="A79" s="48"/>
      <c r="B79" s="28"/>
      <c r="C79" s="19" t="s">
        <v>658</v>
      </c>
      <c r="D79" s="45"/>
      <c r="E79" s="960"/>
      <c r="F79" s="960"/>
      <c r="G79" s="960"/>
      <c r="H79" s="955"/>
    </row>
    <row r="80" spans="1:8" ht="20.100000000000001" customHeight="1" x14ac:dyDescent="0.25">
      <c r="A80" s="48"/>
      <c r="B80" s="28"/>
      <c r="C80" s="19" t="s">
        <v>659</v>
      </c>
      <c r="D80" s="45">
        <v>1061</v>
      </c>
      <c r="E80" s="960"/>
      <c r="F80" s="960"/>
      <c r="G80" s="960"/>
      <c r="H80" s="955"/>
    </row>
    <row r="81" spans="1:8" ht="20.100000000000001" customHeight="1" thickBot="1" x14ac:dyDescent="0.3">
      <c r="A81" s="48"/>
      <c r="B81" s="27"/>
      <c r="C81" s="46" t="s">
        <v>660</v>
      </c>
      <c r="D81" s="47">
        <v>1062</v>
      </c>
      <c r="E81" s="961"/>
      <c r="F81" s="961"/>
      <c r="G81" s="961"/>
      <c r="H81" s="962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Zlatica</cp:lastModifiedBy>
  <cp:lastPrinted>2025-10-02T07:01:41Z</cp:lastPrinted>
  <dcterms:created xsi:type="dcterms:W3CDTF">2013-03-07T07:52:21Z</dcterms:created>
  <dcterms:modified xsi:type="dcterms:W3CDTF">2025-10-02T08:51:55Z</dcterms:modified>
</cp:coreProperties>
</file>